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6635" windowHeight="11130" activeTab="0"/>
  </bookViews>
  <sheets>
    <sheet name="極暑期" sheetId="1" r:id="rId1"/>
    <sheet name="極寒期" sheetId="2" r:id="rId2"/>
  </sheets>
  <definedNames>
    <definedName name="_xlnm.Print_Area" localSheetId="1">'極寒期'!$A$86:$F$109</definedName>
    <definedName name="_xlnm.Print_Area" localSheetId="0">'極暑期'!$A$76:$H$116</definedName>
  </definedNames>
  <calcPr fullCalcOnLoad="1"/>
</workbook>
</file>

<file path=xl/sharedStrings.xml><?xml version="1.0" encoding="utf-8"?>
<sst xmlns="http://schemas.openxmlformats.org/spreadsheetml/2006/main" count="531" uniqueCount="332">
  <si>
    <t>熱伝導率計算</t>
  </si>
  <si>
    <t>天然木材</t>
  </si>
  <si>
    <t>硬質ウレタン</t>
  </si>
  <si>
    <t>1.5以上</t>
  </si>
  <si>
    <t>2.0以上</t>
  </si>
  <si>
    <t>FPの材木面積</t>
  </si>
  <si>
    <t>木材率</t>
  </si>
  <si>
    <t>木材部分を50mmウレタンで覆うと</t>
  </si>
  <si>
    <t>熱伝導率 kcal/mh℃</t>
  </si>
  <si>
    <t>透湿係数  ng/㎡sPa</t>
  </si>
  <si>
    <t>圧縮強さ　kgf/㎠</t>
  </si>
  <si>
    <t>出展) http://www.builder-net.com/regulation/energy/seinou_hikaku/materials.html</t>
  </si>
  <si>
    <t>熱伝導率 W/mK</t>
  </si>
  <si>
    <t>換算係数 1W/mK = 0.86kcal/mh℃</t>
  </si>
  <si>
    <t>壁</t>
  </si>
  <si>
    <t>次世代省エネ熱還流率地区基準</t>
  </si>
  <si>
    <t>http://www.ii-ie.com/pastlog/lng0201/02010015.htm</t>
  </si>
  <si>
    <t>木材部 熱還流率</t>
  </si>
  <si>
    <t>木材部分を25mmウレタンで覆うと</t>
  </si>
  <si>
    <t>ウレタン直列木材部平均還流率</t>
  </si>
  <si>
    <t>外断: 全面105mmウレタン</t>
  </si>
  <si>
    <t>外断: 全面25mmウレタン</t>
  </si>
  <si>
    <t>外断: 全面50mmウレタン</t>
  </si>
  <si>
    <t>外断: 全面50mmポリスチレン</t>
  </si>
  <si>
    <t>出展)</t>
  </si>
  <si>
    <t>出展)  理想の高気密工断熱住宅 - 足立博</t>
  </si>
  <si>
    <t>0.1-0.16</t>
  </si>
  <si>
    <t>28-228</t>
  </si>
  <si>
    <t>ALC</t>
  </si>
  <si>
    <t>ガラス</t>
  </si>
  <si>
    <t>0.55-0.75</t>
  </si>
  <si>
    <t>コンクリート</t>
  </si>
  <si>
    <t>30-130</t>
  </si>
  <si>
    <t>10-57</t>
  </si>
  <si>
    <t>33-73</t>
  </si>
  <si>
    <t>ロックウール</t>
  </si>
  <si>
    <t>セルロースファイバー</t>
  </si>
  <si>
    <t>グラスウール</t>
  </si>
  <si>
    <t>0.036-0.045</t>
  </si>
  <si>
    <t>90cmパネルのうち、1inch x 3 + 105mm(柱)</t>
  </si>
  <si>
    <t>III</t>
  </si>
  <si>
    <t>IV</t>
  </si>
  <si>
    <t>V</t>
  </si>
  <si>
    <r>
      <t>2</t>
    </r>
    <r>
      <rPr>
        <sz val="11"/>
        <rFont val="ＭＳ Ｐゴシック"/>
        <family val="0"/>
      </rPr>
      <t>0%+5%(すじかい部)</t>
    </r>
  </si>
  <si>
    <t>すじかい部熱還流率</t>
  </si>
  <si>
    <r>
      <t xml:space="preserve"> </t>
    </r>
    <r>
      <rPr>
        <sz val="11"/>
        <rFont val="ＭＳ Ｐゴシック"/>
        <family val="0"/>
      </rPr>
      <t xml:space="preserve"> 天然木材(計算上仮定)</t>
    </r>
  </si>
  <si>
    <r>
      <t>壁熱還流率W/㎡K</t>
    </r>
    <r>
      <rPr>
        <sz val="11"/>
        <rFont val="ＭＳ Ｐゴシック"/>
        <family val="0"/>
      </rPr>
      <t xml:space="preserve"> (換算値)</t>
    </r>
  </si>
  <si>
    <t>上のもう少し正確な計算。すじかい部分が幅50mmでウレタン厚が50mmとなっているとする。</t>
  </si>
  <si>
    <t>すじかい木部熱還流率</t>
  </si>
  <si>
    <t>平均熱還流率kcal/㎡h℃</t>
  </si>
  <si>
    <t>一般アルミサッシ＋単板ガラス</t>
  </si>
  <si>
    <t>シャノンウインド(通常複層ガラス使用)</t>
  </si>
  <si>
    <t>平均窓面積</t>
  </si>
  <si>
    <t>窓分を換算</t>
  </si>
  <si>
    <r>
      <t>シャノン窓分を算入 熱還流率</t>
    </r>
    <r>
      <rPr>
        <sz val="11"/>
        <rFont val="ＭＳ Ｐゴシック"/>
        <family val="0"/>
      </rPr>
      <t>W/</t>
    </r>
    <r>
      <rPr>
        <sz val="11"/>
        <rFont val="ＭＳ Ｐゴシック"/>
        <family val="0"/>
      </rPr>
      <t>㎡</t>
    </r>
    <r>
      <rPr>
        <sz val="11"/>
        <rFont val="ＭＳ Ｐゴシック"/>
        <family val="0"/>
      </rPr>
      <t>K (</t>
    </r>
    <r>
      <rPr>
        <sz val="11"/>
        <rFont val="ＭＳ Ｐゴシック"/>
        <family val="0"/>
      </rPr>
      <t>換算値</t>
    </r>
    <r>
      <rPr>
        <sz val="11"/>
        <rFont val="ＭＳ Ｐゴシック"/>
        <family val="0"/>
      </rPr>
      <t>)</t>
    </r>
  </si>
  <si>
    <r>
      <t>相当厚さD</t>
    </r>
    <r>
      <rPr>
        <sz val="11"/>
        <rFont val="ＭＳ Ｐゴシック"/>
        <family val="0"/>
      </rPr>
      <t>elta @ 20%時</t>
    </r>
  </si>
  <si>
    <r>
      <t>あとは天井と床分か.</t>
    </r>
    <r>
      <rPr>
        <sz val="11"/>
        <rFont val="ＭＳ Ｐゴシック"/>
        <family val="0"/>
      </rPr>
      <t>...</t>
    </r>
  </si>
  <si>
    <r>
      <t>J</t>
    </r>
    <r>
      <rPr>
        <sz val="11"/>
        <rFont val="ＭＳ Ｐゴシック"/>
        <family val="0"/>
      </rPr>
      <t>IS</t>
    </r>
  </si>
  <si>
    <r>
      <t>H</t>
    </r>
    <r>
      <rPr>
        <sz val="11"/>
        <rFont val="ＭＳ Ｐゴシック"/>
        <family val="0"/>
      </rPr>
      <t>-4</t>
    </r>
  </si>
  <si>
    <r>
      <t>H</t>
    </r>
    <r>
      <rPr>
        <sz val="11"/>
        <rFont val="ＭＳ Ｐゴシック"/>
        <family val="0"/>
      </rPr>
      <t>-5</t>
    </r>
  </si>
  <si>
    <t xml:space="preserve">W/㎡K </t>
  </si>
  <si>
    <t>C値</t>
  </si>
  <si>
    <t>野村</t>
  </si>
  <si>
    <r>
      <t>F</t>
    </r>
    <r>
      <rPr>
        <sz val="11"/>
        <rFont val="ＭＳ Ｐゴシック"/>
        <family val="0"/>
      </rPr>
      <t>P</t>
    </r>
  </si>
  <si>
    <t>イザット</t>
  </si>
  <si>
    <t>換気量基準　</t>
  </si>
  <si>
    <r>
      <t>0</t>
    </r>
    <r>
      <rPr>
        <sz val="11"/>
        <rFont val="ＭＳ Ｐゴシック"/>
        <family val="0"/>
      </rPr>
      <t>.5回/時</t>
    </r>
  </si>
  <si>
    <t>トイレ、洗面</t>
  </si>
  <si>
    <t>寝室、キッチン</t>
  </si>
  <si>
    <r>
      <t>3</t>
    </r>
    <r>
      <rPr>
        <sz val="11"/>
        <rFont val="ＭＳ Ｐゴシック"/>
        <family val="0"/>
      </rPr>
      <t>0m2以上</t>
    </r>
  </si>
  <si>
    <r>
      <t>2</t>
    </r>
    <r>
      <rPr>
        <sz val="11"/>
        <rFont val="ＭＳ Ｐゴシック"/>
        <family val="0"/>
      </rPr>
      <t>0m2以上</t>
    </r>
  </si>
  <si>
    <t>飽和水蒸気圧</t>
  </si>
  <si>
    <t>潜熱</t>
  </si>
  <si>
    <t>アルデ</t>
  </si>
  <si>
    <r>
      <t>M</t>
    </r>
    <r>
      <rPr>
        <sz val="11"/>
        <rFont val="ＭＳ Ｐゴシック"/>
        <family val="0"/>
      </rPr>
      <t>PV150/6</t>
    </r>
  </si>
  <si>
    <r>
      <t>1</t>
    </r>
    <r>
      <rPr>
        <sz val="11"/>
        <rFont val="ＭＳ Ｐゴシック"/>
        <family val="0"/>
      </rPr>
      <t>56m2/時</t>
    </r>
  </si>
  <si>
    <t>通常運転</t>
  </si>
  <si>
    <r>
      <t>8</t>
    </r>
    <r>
      <rPr>
        <sz val="11"/>
        <rFont val="ＭＳ Ｐゴシック"/>
        <family val="0"/>
      </rPr>
      <t>0Pa</t>
    </r>
  </si>
  <si>
    <t>静圧そのとき</t>
  </si>
  <si>
    <r>
      <t>水蒸気分は</t>
    </r>
    <r>
      <rPr>
        <sz val="11"/>
        <rFont val="ＭＳ Ｐゴシック"/>
        <family val="0"/>
      </rPr>
      <t>30℃</t>
    </r>
    <r>
      <rPr>
        <sz val="11"/>
        <rFont val="ＭＳ Ｐゴシック"/>
        <family val="0"/>
      </rPr>
      <t>7</t>
    </r>
    <r>
      <rPr>
        <sz val="11"/>
        <rFont val="ＭＳ Ｐゴシック"/>
        <family val="0"/>
      </rPr>
      <t>0%でも8%</t>
    </r>
  </si>
  <si>
    <r>
      <t>1</t>
    </r>
    <r>
      <rPr>
        <sz val="11"/>
        <rFont val="ＭＳ Ｐゴシック"/>
        <family val="0"/>
      </rPr>
      <t>.006J/gK (低圧比熱)</t>
    </r>
  </si>
  <si>
    <r>
      <t>1</t>
    </r>
    <r>
      <rPr>
        <sz val="11"/>
        <rFont val="ＭＳ Ｐゴシック"/>
        <family val="0"/>
      </rPr>
      <t xml:space="preserve"> cal=4.186J</t>
    </r>
  </si>
  <si>
    <r>
      <t>c</t>
    </r>
    <r>
      <rPr>
        <sz val="11"/>
        <rFont val="ＭＳ Ｐゴシック"/>
        <family val="0"/>
      </rPr>
      <t>m2/m2</t>
    </r>
  </si>
  <si>
    <r>
      <t>述べ床には小屋裏面積も算入　気密層に囲まれた空間の気積を2</t>
    </r>
    <r>
      <rPr>
        <sz val="11"/>
        <rFont val="ＭＳ Ｐゴシック"/>
        <family val="0"/>
      </rPr>
      <t>.6で割った数値が相当床面積</t>
    </r>
  </si>
  <si>
    <r>
      <t>1</t>
    </r>
    <r>
      <rPr>
        <sz val="11"/>
        <rFont val="ＭＳ Ｐゴシック"/>
        <family val="0"/>
      </rPr>
      <t>.25g/L</t>
    </r>
  </si>
  <si>
    <t>1気圧</t>
  </si>
  <si>
    <r>
      <t>1</t>
    </r>
    <r>
      <rPr>
        <sz val="11"/>
        <rFont val="ＭＳ Ｐゴシック"/>
        <family val="0"/>
      </rPr>
      <t>013.25 ヘクトパスカル</t>
    </r>
  </si>
  <si>
    <r>
      <t>1</t>
    </r>
    <r>
      <rPr>
        <sz val="11"/>
        <rFont val="ＭＳ Ｐゴシック"/>
        <family val="0"/>
      </rPr>
      <t>.03Kg/cm2</t>
    </r>
  </si>
  <si>
    <t>http://www.juen.ac.jp/scien/naka_base/met_cal/satu_vapor.html</t>
  </si>
  <si>
    <r>
      <t>2</t>
    </r>
    <r>
      <rPr>
        <sz val="11"/>
        <rFont val="ＭＳ Ｐゴシック"/>
        <family val="0"/>
      </rPr>
      <t>5℃</t>
    </r>
  </si>
  <si>
    <r>
      <t>3</t>
    </r>
    <r>
      <rPr>
        <sz val="11"/>
        <rFont val="ＭＳ Ｐゴシック"/>
        <family val="0"/>
      </rPr>
      <t>5℃</t>
    </r>
  </si>
  <si>
    <r>
      <t>h</t>
    </r>
    <r>
      <rPr>
        <sz val="11"/>
        <rFont val="ＭＳ Ｐゴシック"/>
        <family val="0"/>
      </rPr>
      <t>Pa</t>
    </r>
  </si>
  <si>
    <r>
      <t>g</t>
    </r>
    <r>
      <rPr>
        <sz val="11"/>
        <rFont val="ＭＳ Ｐゴシック"/>
        <family val="0"/>
      </rPr>
      <t>/m3</t>
    </r>
  </si>
  <si>
    <r>
      <t>k</t>
    </r>
    <r>
      <rPr>
        <sz val="11"/>
        <rFont val="ＭＳ Ｐゴシック"/>
        <family val="0"/>
      </rPr>
      <t>cal/kg</t>
    </r>
  </si>
  <si>
    <t>夏の平均湿度</t>
  </si>
  <si>
    <t>床下湿度</t>
  </si>
  <si>
    <t>部屋湿度</t>
  </si>
  <si>
    <t>一日の発生水蒸気</t>
  </si>
  <si>
    <t>人、炊事、洗濯</t>
  </si>
  <si>
    <t>床下</t>
  </si>
  <si>
    <t>世界の食糧植物のＣＯ2吸収量は生産量から約 46億トン</t>
  </si>
  <si>
    <t>人間文明でのＣＯ2排出量は239億トン</t>
  </si>
  <si>
    <t>(普通に息をしているだけなら22億トンです）</t>
  </si>
  <si>
    <t>つまり193億トンずつ増えていってるわけですね</t>
  </si>
  <si>
    <t>ところで、地球上の大気中の二酸化炭素は</t>
  </si>
  <si>
    <t>２９３３３億トン(8000x44(CO2の分子量)/12(炭素の分子量))</t>
  </si>
  <si>
    <t>1/152ずつ増加してるわけです</t>
  </si>
  <si>
    <t>で、大気全体から考えると</t>
  </si>
  <si>
    <t>１５２÷０．０００４５６＝３３３３００</t>
  </si>
  <si>
    <t>さっきのプールが大気と考えると３リットル相当 毎年二酸化炭素を増やしているということになります</t>
  </si>
  <si>
    <t>１年だとこんなものですが１日だと8.2ml</t>
  </si>
  <si>
    <t>一時間では0.34ml、１秒だと5μlですから</t>
  </si>
  <si>
    <t>一秒間に１滴ずつ目薬を垂れ流している・・・と言う表現は適切かもしれません</t>
  </si>
  <si>
    <t>http://www.hatena.ne.jp/1089126791</t>
  </si>
  <si>
    <r>
      <t>J</t>
    </r>
    <r>
      <rPr>
        <sz val="11"/>
        <rFont val="ＭＳ Ｐゴシック"/>
        <family val="0"/>
      </rPr>
      <t>=WS</t>
    </r>
  </si>
  <si>
    <r>
      <t>人間の発熱量(静止時</t>
    </r>
    <r>
      <rPr>
        <sz val="11"/>
        <rFont val="ＭＳ Ｐゴシック"/>
        <family val="0"/>
      </rPr>
      <t>)</t>
    </r>
  </si>
  <si>
    <t>100 Watt</t>
  </si>
  <si>
    <r>
      <t>5</t>
    </r>
    <r>
      <rPr>
        <sz val="11"/>
        <rFont val="ＭＳ Ｐゴシック"/>
        <family val="0"/>
      </rPr>
      <t>0Kcal/hr</t>
    </r>
  </si>
  <si>
    <r>
      <t>3</t>
    </r>
    <r>
      <rPr>
        <sz val="11"/>
        <rFont val="ＭＳ Ｐゴシック"/>
        <family val="0"/>
      </rPr>
      <t>M</t>
    </r>
  </si>
  <si>
    <t>Ｗ</t>
  </si>
  <si>
    <r>
      <t>0</t>
    </r>
    <r>
      <rPr>
        <sz val="11"/>
        <rFont val="ＭＳ Ｐゴシック"/>
        <family val="0"/>
      </rPr>
      <t>.24 kcal/Kg℃</t>
    </r>
  </si>
  <si>
    <t>Q値というか、エアコンでの必要仕事量計算</t>
  </si>
  <si>
    <t>南壁</t>
  </si>
  <si>
    <t>窓面積</t>
  </si>
  <si>
    <t>北壁</t>
  </si>
  <si>
    <t>土台</t>
  </si>
  <si>
    <t>フェノールフォーム</t>
  </si>
  <si>
    <r>
      <t xml:space="preserve">吸水量 </t>
    </r>
    <r>
      <rPr>
        <sz val="11"/>
        <rFont val="ＭＳ Ｐゴシック"/>
        <family val="0"/>
      </rPr>
      <t>g/100cm2</t>
    </r>
  </si>
  <si>
    <r>
      <t>密度　K</t>
    </r>
    <r>
      <rPr>
        <sz val="11"/>
        <rFont val="ＭＳ Ｐゴシック"/>
        <family val="0"/>
      </rPr>
      <t>g/m3</t>
    </r>
  </si>
  <si>
    <r>
      <t>4</t>
    </r>
    <r>
      <rPr>
        <sz val="11"/>
        <rFont val="ＭＳ Ｐゴシック"/>
        <family val="0"/>
      </rPr>
      <t>2 (25mm厚)</t>
    </r>
  </si>
  <si>
    <t>熱変形温度 ℃</t>
  </si>
  <si>
    <r>
      <t>ポリスチレン　(スタイロフォーム</t>
    </r>
    <r>
      <rPr>
        <sz val="11"/>
        <rFont val="ＭＳ Ｐゴシック"/>
        <family val="0"/>
      </rPr>
      <t>)</t>
    </r>
  </si>
  <si>
    <r>
      <t>0</t>
    </r>
    <r>
      <rPr>
        <sz val="11"/>
        <rFont val="ＭＳ Ｐゴシック"/>
        <family val="0"/>
      </rPr>
      <t xml:space="preserve">.03- </t>
    </r>
    <r>
      <rPr>
        <sz val="11"/>
        <rFont val="ＭＳ Ｐゴシック"/>
        <family val="0"/>
      </rPr>
      <t>0.036</t>
    </r>
  </si>
  <si>
    <r>
      <t>Q値</t>
    </r>
    <r>
      <rPr>
        <sz val="11"/>
        <rFont val="ＭＳ Ｐゴシック"/>
        <family val="0"/>
      </rPr>
      <t>=熱還流率　W/m2K</t>
    </r>
  </si>
  <si>
    <t>Kcal/m2h℃</t>
  </si>
  <si>
    <t>次世代基準</t>
  </si>
  <si>
    <t>I地域　北海道</t>
  </si>
  <si>
    <t xml:space="preserve">IV地域　東京 </t>
  </si>
  <si>
    <r>
      <t>I</t>
    </r>
    <r>
      <rPr>
        <sz val="11"/>
        <rFont val="ＭＳ Ｐゴシック"/>
        <family val="0"/>
      </rPr>
      <t>II 宮城</t>
    </r>
  </si>
  <si>
    <r>
      <t xml:space="preserve">熱還流率 </t>
    </r>
    <r>
      <rPr>
        <sz val="11"/>
        <rFont val="ＭＳ Ｐゴシック"/>
        <family val="0"/>
      </rPr>
      <t>kcal/m2h℃</t>
    </r>
  </si>
  <si>
    <r>
      <t xml:space="preserve">熱還流抵抗 </t>
    </r>
    <r>
      <rPr>
        <sz val="11"/>
        <rFont val="ＭＳ Ｐゴシック"/>
        <family val="0"/>
      </rPr>
      <t>m2 K/W</t>
    </r>
  </si>
  <si>
    <r>
      <t xml:space="preserve">熱還流抵抗 </t>
    </r>
    <r>
      <rPr>
        <sz val="11"/>
        <rFont val="ＭＳ Ｐゴシック"/>
        <family val="0"/>
      </rPr>
      <t>m2h℃/kcal</t>
    </r>
  </si>
  <si>
    <t>カーテン</t>
  </si>
  <si>
    <t>熱線反射フィルム</t>
  </si>
  <si>
    <t>こ</t>
  </si>
  <si>
    <t>高断熱ガラス</t>
  </si>
  <si>
    <t>フィルムつけると</t>
  </si>
  <si>
    <t>総空気量</t>
  </si>
  <si>
    <r>
      <t>表面温度　F</t>
    </r>
    <r>
      <rPr>
        <sz val="11"/>
        <rFont val="ＭＳ Ｐゴシック"/>
        <family val="0"/>
      </rPr>
      <t>P</t>
    </r>
  </si>
  <si>
    <t>表面温度　イザット</t>
  </si>
  <si>
    <r>
      <t>1</t>
    </r>
    <r>
      <rPr>
        <sz val="11"/>
        <rFont val="ＭＳ Ｐゴシック"/>
        <family val="0"/>
      </rPr>
      <t>8坪+18坪の二階建て計算</t>
    </r>
  </si>
  <si>
    <r>
      <t>外断: 全面</t>
    </r>
    <r>
      <rPr>
        <sz val="11"/>
        <rFont val="ＭＳ Ｐゴシック"/>
        <family val="0"/>
      </rPr>
      <t>50</t>
    </r>
    <r>
      <rPr>
        <sz val="11"/>
        <rFont val="ＭＳ Ｐゴシック"/>
        <family val="0"/>
      </rPr>
      <t>mmフェノール</t>
    </r>
  </si>
  <si>
    <r>
      <t>外断: 全面</t>
    </r>
    <r>
      <rPr>
        <sz val="11"/>
        <rFont val="ＭＳ Ｐゴシック"/>
        <family val="0"/>
      </rPr>
      <t>35</t>
    </r>
    <r>
      <rPr>
        <sz val="11"/>
        <rFont val="ＭＳ Ｐゴシック"/>
        <family val="0"/>
      </rPr>
      <t>mmフェノール</t>
    </r>
  </si>
  <si>
    <t>イザット　新仕様</t>
  </si>
  <si>
    <r>
      <t>面積(窓　除く</t>
    </r>
    <r>
      <rPr>
        <sz val="11"/>
        <rFont val="ＭＳ Ｐゴシック"/>
        <family val="0"/>
      </rPr>
      <t>)</t>
    </r>
  </si>
  <si>
    <t>北以外屋根</t>
  </si>
  <si>
    <t>北屋根</t>
  </si>
  <si>
    <t>東壁</t>
  </si>
  <si>
    <t>西壁</t>
  </si>
  <si>
    <t>高さ</t>
  </si>
  <si>
    <t>家横幅　m</t>
  </si>
  <si>
    <t>ロフト　除く</t>
  </si>
  <si>
    <t>ロフト吹抜</t>
  </si>
  <si>
    <t>窓含む面積</t>
  </si>
  <si>
    <t>FP屋根</t>
  </si>
  <si>
    <t>外気</t>
  </si>
  <si>
    <r>
      <t>5</t>
    </r>
    <r>
      <rPr>
        <sz val="11"/>
        <rFont val="ＭＳ Ｐゴシック"/>
        <family val="0"/>
      </rPr>
      <t>5mmウレタン垂木89mm (垂木部効果は1/3)</t>
    </r>
  </si>
  <si>
    <r>
      <t xml:space="preserve">壁の熱還流量 </t>
    </r>
    <r>
      <rPr>
        <sz val="11"/>
        <rFont val="ＭＳ Ｐゴシック"/>
        <family val="0"/>
      </rPr>
      <t>(W) FP</t>
    </r>
  </si>
  <si>
    <t>屋根温度</t>
  </si>
  <si>
    <t>イザット　屋根</t>
  </si>
  <si>
    <r>
      <t>5</t>
    </r>
    <r>
      <rPr>
        <sz val="11"/>
        <rFont val="ＭＳ Ｐゴシック"/>
        <family val="0"/>
      </rPr>
      <t>5mmポリスチレン</t>
    </r>
  </si>
  <si>
    <r>
      <t>計画換気が維持できるか?</t>
    </r>
    <r>
      <rPr>
        <sz val="11"/>
        <rFont val="ＭＳ Ｐゴシック"/>
        <family val="0"/>
      </rPr>
      <t xml:space="preserve"> C値が一定以下であること</t>
    </r>
  </si>
  <si>
    <r>
      <t xml:space="preserve"> </t>
    </r>
    <r>
      <rPr>
        <sz val="11"/>
        <rFont val="ＭＳ Ｐゴシック"/>
        <family val="0"/>
      </rPr>
      <t xml:space="preserve"> 木部のみ55mmかさね</t>
    </r>
  </si>
  <si>
    <r>
      <t xml:space="preserve"> </t>
    </r>
    <r>
      <rPr>
        <sz val="11"/>
        <rFont val="ＭＳ Ｐゴシック"/>
        <family val="0"/>
      </rPr>
      <t xml:space="preserve"> 全面2重がさね</t>
    </r>
  </si>
  <si>
    <r>
      <t>5</t>
    </r>
    <r>
      <rPr>
        <sz val="11"/>
        <rFont val="ＭＳ Ｐゴシック"/>
        <family val="0"/>
      </rPr>
      <t>5mm+55mm</t>
    </r>
  </si>
  <si>
    <t>55mm+55mm</t>
  </si>
  <si>
    <t>床下空間</t>
  </si>
  <si>
    <r>
      <t>F</t>
    </r>
    <r>
      <rPr>
        <sz val="11"/>
        <rFont val="ＭＳ Ｐゴシック"/>
        <family val="0"/>
      </rPr>
      <t xml:space="preserve">P </t>
    </r>
  </si>
  <si>
    <t>イザット</t>
  </si>
  <si>
    <t>C値</t>
  </si>
  <si>
    <r>
      <t xml:space="preserve">延べ床面積 </t>
    </r>
    <r>
      <rPr>
        <sz val="11"/>
        <rFont val="ＭＳ Ｐゴシック"/>
        <family val="0"/>
      </rPr>
      <t>m2 (ロフト込み)</t>
    </r>
  </si>
  <si>
    <t>家奥行き</t>
  </si>
  <si>
    <t>隙間換算用床面積</t>
  </si>
  <si>
    <t>隙間総面積 ㎠</t>
  </si>
  <si>
    <r>
      <t>窓の熱還流量　(</t>
    </r>
    <r>
      <rPr>
        <sz val="11"/>
        <rFont val="ＭＳ Ｐゴシック"/>
        <family val="0"/>
      </rPr>
      <t>W)</t>
    </r>
  </si>
  <si>
    <r>
      <t xml:space="preserve">壁の熱還流量 </t>
    </r>
    <r>
      <rPr>
        <sz val="11"/>
        <rFont val="ＭＳ Ｐゴシック"/>
        <family val="0"/>
      </rPr>
      <t xml:space="preserve">W </t>
    </r>
    <r>
      <rPr>
        <sz val="11"/>
        <rFont val="ＭＳ Ｐゴシック"/>
        <family val="0"/>
      </rPr>
      <t>イザット</t>
    </r>
    <r>
      <rPr>
        <sz val="11"/>
        <rFont val="ＭＳ Ｐゴシック"/>
        <family val="0"/>
      </rPr>
      <t xml:space="preserve"> (W)</t>
    </r>
  </si>
  <si>
    <r>
      <t>空気密度　K</t>
    </r>
    <r>
      <rPr>
        <sz val="11"/>
        <rFont val="ＭＳ Ｐゴシック"/>
        <family val="0"/>
      </rPr>
      <t>g/m3</t>
    </r>
  </si>
  <si>
    <r>
      <t>空気比熱　W</t>
    </r>
    <r>
      <rPr>
        <sz val="11"/>
        <rFont val="ＭＳ Ｐゴシック"/>
        <family val="0"/>
      </rPr>
      <t>/Kg℃</t>
    </r>
  </si>
  <si>
    <r>
      <t>2</t>
    </r>
    <r>
      <rPr>
        <sz val="11"/>
        <rFont val="ＭＳ Ｐゴシック"/>
        <family val="0"/>
      </rPr>
      <t>h換気から換算した　必要換気量 ㎡/h</t>
    </r>
  </si>
  <si>
    <r>
      <t>換気空気量 ㎡</t>
    </r>
    <r>
      <rPr>
        <sz val="11"/>
        <rFont val="ＭＳ Ｐゴシック"/>
        <family val="0"/>
      </rPr>
      <t>/h</t>
    </r>
  </si>
  <si>
    <t>4人の発熱量　（Ｗ）</t>
  </si>
  <si>
    <r>
      <t>換気空気量 ㎡</t>
    </r>
    <r>
      <rPr>
        <sz val="11"/>
        <rFont val="ＭＳ Ｐゴシック"/>
        <family val="0"/>
      </rPr>
      <t>/sec</t>
    </r>
  </si>
  <si>
    <t>空気流入熱　（Ｗ）</t>
  </si>
  <si>
    <t>Ｊ/g</t>
  </si>
  <si>
    <r>
      <t xml:space="preserve">除湿水分量 </t>
    </r>
    <r>
      <rPr>
        <sz val="11"/>
        <rFont val="ＭＳ Ｐゴシック"/>
        <family val="0"/>
      </rPr>
      <t>g/sec</t>
    </r>
  </si>
  <si>
    <r>
      <t>屋外 （べたべたで</t>
    </r>
    <r>
      <rPr>
        <sz val="11"/>
        <rFont val="ＭＳ Ｐゴシック"/>
        <family val="0"/>
      </rPr>
      <t>85%)</t>
    </r>
  </si>
  <si>
    <r>
      <t xml:space="preserve">除湿潜熱 </t>
    </r>
    <r>
      <rPr>
        <sz val="11"/>
        <rFont val="ＭＳ Ｐゴシック"/>
        <family val="0"/>
      </rPr>
      <t>(W)</t>
    </r>
  </si>
  <si>
    <t>室内</t>
  </si>
  <si>
    <r>
      <t xml:space="preserve">温度 </t>
    </r>
    <r>
      <rPr>
        <sz val="11"/>
        <rFont val="ＭＳ Ｐゴシック"/>
        <family val="0"/>
      </rPr>
      <t>℃</t>
    </r>
  </si>
  <si>
    <t>湿度</t>
  </si>
  <si>
    <t xml:space="preserve">140mm現場発泡スチレンをかさねた場合(?) </t>
  </si>
  <si>
    <r>
      <t xml:space="preserve">除湿量 </t>
    </r>
    <r>
      <rPr>
        <sz val="11"/>
        <rFont val="ＭＳ Ｐゴシック"/>
        <family val="0"/>
      </rPr>
      <t>g/sec</t>
    </r>
  </si>
  <si>
    <t>高断熱</t>
  </si>
  <si>
    <t>床下外部空間</t>
  </si>
  <si>
    <t>屋根還流係数</t>
  </si>
  <si>
    <t>壁断熱係数</t>
  </si>
  <si>
    <t>土台断熱係数</t>
  </si>
  <si>
    <r>
      <t>F</t>
    </r>
    <r>
      <rPr>
        <sz val="11"/>
        <rFont val="ＭＳ Ｐゴシック"/>
        <family val="0"/>
      </rPr>
      <t>P</t>
    </r>
  </si>
  <si>
    <t>イザット屋根木部2重</t>
  </si>
  <si>
    <t>イザット屋根全面2重</t>
  </si>
  <si>
    <r>
      <t xml:space="preserve">屋根流入熱 </t>
    </r>
    <r>
      <rPr>
        <sz val="11"/>
        <rFont val="ＭＳ Ｐゴシック"/>
        <family val="0"/>
      </rPr>
      <t>(W)</t>
    </r>
  </si>
  <si>
    <t>壁流入熱　（Ｗ）</t>
  </si>
  <si>
    <r>
      <t xml:space="preserve">窓流入熱 </t>
    </r>
    <r>
      <rPr>
        <sz val="11"/>
        <rFont val="ＭＳ Ｐゴシック"/>
        <family val="0"/>
      </rPr>
      <t>(W)</t>
    </r>
  </si>
  <si>
    <r>
      <t>床下流入熱(</t>
    </r>
    <r>
      <rPr>
        <sz val="11"/>
        <rFont val="ＭＳ Ｐゴシック"/>
        <family val="0"/>
      </rPr>
      <t>W)</t>
    </r>
  </si>
  <si>
    <r>
      <t xml:space="preserve">総流入熱 </t>
    </r>
    <r>
      <rPr>
        <sz val="11"/>
        <rFont val="ＭＳ Ｐゴシック"/>
        <family val="0"/>
      </rPr>
      <t>W</t>
    </r>
  </si>
  <si>
    <r>
      <t xml:space="preserve">電化製品発熱量 </t>
    </r>
    <r>
      <rPr>
        <sz val="11"/>
        <rFont val="ＭＳ Ｐゴシック"/>
        <family val="0"/>
      </rPr>
      <t>(W)</t>
    </r>
  </si>
  <si>
    <r>
      <t xml:space="preserve"> イザット全面</t>
    </r>
    <r>
      <rPr>
        <sz val="11"/>
        <rFont val="ＭＳ Ｐゴシック"/>
        <family val="0"/>
      </rPr>
      <t>2重の場合 (W) 50mm壁断</t>
    </r>
  </si>
  <si>
    <r>
      <t xml:space="preserve"> イザット木部</t>
    </r>
    <r>
      <rPr>
        <sz val="11"/>
        <rFont val="ＭＳ Ｐゴシック"/>
        <family val="0"/>
      </rPr>
      <t>2重の場合(W)　</t>
    </r>
  </si>
  <si>
    <r>
      <t>3</t>
    </r>
    <r>
      <rPr>
        <sz val="11"/>
        <rFont val="ＭＳ Ｐゴシック"/>
        <family val="0"/>
      </rPr>
      <t>0℃</t>
    </r>
  </si>
  <si>
    <t>27℃</t>
  </si>
  <si>
    <r>
      <t>3</t>
    </r>
    <r>
      <rPr>
        <sz val="11"/>
        <rFont val="ＭＳ Ｐゴシック"/>
        <family val="0"/>
      </rPr>
      <t>2℃</t>
    </r>
  </si>
  <si>
    <t>室外</t>
  </si>
  <si>
    <t>湿度</t>
  </si>
  <si>
    <r>
      <t xml:space="preserve">水蒸気エネルギー </t>
    </r>
    <r>
      <rPr>
        <sz val="11"/>
        <rFont val="ＭＳ Ｐゴシック"/>
        <family val="0"/>
      </rPr>
      <t>J/m3</t>
    </r>
  </si>
  <si>
    <t>飽和水蒸気量 g/m3</t>
  </si>
  <si>
    <r>
      <t>潜熱量</t>
    </r>
    <r>
      <rPr>
        <sz val="11"/>
        <rFont val="ＭＳ Ｐゴシック"/>
        <family val="0"/>
      </rPr>
      <t xml:space="preserve"> W</t>
    </r>
  </si>
  <si>
    <t>エアコン</t>
  </si>
  <si>
    <t>6畳用</t>
  </si>
  <si>
    <t>8畳用</t>
  </si>
  <si>
    <r>
      <t>1</t>
    </r>
    <r>
      <rPr>
        <sz val="11"/>
        <rFont val="ＭＳ Ｐゴシック"/>
        <family val="0"/>
      </rPr>
      <t>0畳用</t>
    </r>
  </si>
  <si>
    <r>
      <t>1</t>
    </r>
    <r>
      <rPr>
        <sz val="11"/>
        <rFont val="ＭＳ Ｐゴシック"/>
        <family val="0"/>
      </rPr>
      <t>2畳用</t>
    </r>
  </si>
  <si>
    <r>
      <t xml:space="preserve">暖房能力 </t>
    </r>
    <r>
      <rPr>
        <sz val="11"/>
        <rFont val="ＭＳ Ｐゴシック"/>
        <family val="0"/>
      </rPr>
      <t>W</t>
    </r>
  </si>
  <si>
    <r>
      <t xml:space="preserve">冷房能力 </t>
    </r>
    <r>
      <rPr>
        <sz val="11"/>
        <rFont val="ＭＳ Ｐゴシック"/>
        <family val="0"/>
      </rPr>
      <t>W</t>
    </r>
  </si>
  <si>
    <r>
      <t xml:space="preserve">暖房消費電力 </t>
    </r>
    <r>
      <rPr>
        <sz val="11"/>
        <rFont val="ＭＳ Ｐゴシック"/>
        <family val="0"/>
      </rPr>
      <t>W</t>
    </r>
  </si>
  <si>
    <r>
      <t>冷房消費電力　</t>
    </r>
    <r>
      <rPr>
        <sz val="11"/>
        <rFont val="ＭＳ Ｐゴシック"/>
        <family val="0"/>
      </rPr>
      <t>W</t>
    </r>
  </si>
  <si>
    <t>日立しろくま君</t>
  </si>
  <si>
    <t>冷房　能力/入力</t>
  </si>
  <si>
    <t>三菱電機ロスナイ?</t>
  </si>
  <si>
    <t>http://www.mitsubishielectric.co.jp/news-data/2004/pdf/0129.pdf</t>
  </si>
  <si>
    <t>高さ=ロフト除く</t>
  </si>
  <si>
    <t>ワンフロア面積</t>
  </si>
  <si>
    <t>外断熱土台面積</t>
  </si>
  <si>
    <t>土台高さ</t>
  </si>
  <si>
    <t>横熱浸透部</t>
  </si>
  <si>
    <t>外断熱土台下流入部面積</t>
  </si>
  <si>
    <t>アルデダクト総面積㎠</t>
  </si>
  <si>
    <t>http://www.ieh.ca/jp/erv/faq.html</t>
  </si>
  <si>
    <t>全熱交換効率/余剰発生熱</t>
  </si>
  <si>
    <t>全熱交換機利用の場合の総流入熱</t>
  </si>
  <si>
    <r>
      <t xml:space="preserve">エアコン消費電力 </t>
    </r>
    <r>
      <rPr>
        <sz val="11"/>
        <rFont val="ＭＳ Ｐゴシック"/>
        <family val="0"/>
      </rPr>
      <t>W</t>
    </r>
  </si>
  <si>
    <r>
      <t>エアコン消費電力\全熱交換機時</t>
    </r>
    <r>
      <rPr>
        <sz val="11"/>
        <rFont val="ＭＳ Ｐゴシック"/>
        <family val="0"/>
      </rPr>
      <t xml:space="preserve"> W</t>
    </r>
  </si>
  <si>
    <t>0.1-0.16</t>
  </si>
  <si>
    <t>28-228</t>
  </si>
  <si>
    <t>ALC</t>
  </si>
  <si>
    <t>ガラス</t>
  </si>
  <si>
    <t>0.55-0.75</t>
  </si>
  <si>
    <t>コンクリート</t>
  </si>
  <si>
    <t>30-130</t>
  </si>
  <si>
    <t>10-57</t>
  </si>
  <si>
    <r>
      <t>ポリスチレン　(スタイロフォーム</t>
    </r>
    <r>
      <rPr>
        <sz val="11"/>
        <rFont val="ＭＳ Ｐゴシック"/>
        <family val="0"/>
      </rPr>
      <t>)</t>
    </r>
  </si>
  <si>
    <r>
      <t>0</t>
    </r>
    <r>
      <rPr>
        <sz val="11"/>
        <rFont val="ＭＳ Ｐゴシック"/>
        <family val="0"/>
      </rPr>
      <t xml:space="preserve">.03- </t>
    </r>
    <r>
      <rPr>
        <sz val="11"/>
        <rFont val="ＭＳ Ｐゴシック"/>
        <family val="0"/>
      </rPr>
      <t>0.036</t>
    </r>
  </si>
  <si>
    <t>33-73</t>
  </si>
  <si>
    <t>ロックウール</t>
  </si>
  <si>
    <t>セルロースファイバー</t>
  </si>
  <si>
    <t>グラスウール</t>
  </si>
  <si>
    <t>0.036-0.045</t>
  </si>
  <si>
    <t>フェノールフォーム</t>
  </si>
  <si>
    <t>90cmパネルのうち、1inch x 3 + 105mm(柱)</t>
  </si>
  <si>
    <r>
      <t>5</t>
    </r>
    <r>
      <rPr>
        <sz val="11"/>
        <rFont val="ＭＳ Ｐゴシック"/>
        <family val="0"/>
      </rPr>
      <t>5mmポリスチレン</t>
    </r>
  </si>
  <si>
    <t>55mm+55mm</t>
  </si>
  <si>
    <r>
      <t>5</t>
    </r>
    <r>
      <rPr>
        <sz val="11"/>
        <rFont val="ＭＳ Ｐゴシック"/>
        <family val="0"/>
      </rPr>
      <t>5mm+55mm</t>
    </r>
  </si>
  <si>
    <t>一般アルミサッシ＋単板ガラス</t>
  </si>
  <si>
    <t>フィルムつけると</t>
  </si>
  <si>
    <t>カーテン</t>
  </si>
  <si>
    <t>こ</t>
  </si>
  <si>
    <r>
      <t>J</t>
    </r>
    <r>
      <rPr>
        <sz val="11"/>
        <rFont val="ＭＳ Ｐゴシック"/>
        <family val="0"/>
      </rPr>
      <t>IS</t>
    </r>
  </si>
  <si>
    <r>
      <t>H</t>
    </r>
    <r>
      <rPr>
        <sz val="11"/>
        <rFont val="ＭＳ Ｐゴシック"/>
        <family val="0"/>
      </rPr>
      <t>-4</t>
    </r>
  </si>
  <si>
    <r>
      <t>H</t>
    </r>
    <r>
      <rPr>
        <sz val="11"/>
        <rFont val="ＭＳ Ｐゴシック"/>
        <family val="0"/>
      </rPr>
      <t>-5</t>
    </r>
  </si>
  <si>
    <t xml:space="preserve">W/㎡K </t>
  </si>
  <si>
    <t>次世代基準</t>
  </si>
  <si>
    <t>Kcal/m2h℃</t>
  </si>
  <si>
    <t>III</t>
  </si>
  <si>
    <t>IV</t>
  </si>
  <si>
    <t>V</t>
  </si>
  <si>
    <r>
      <t>c</t>
    </r>
    <r>
      <rPr>
        <sz val="11"/>
        <rFont val="ＭＳ Ｐゴシック"/>
        <family val="0"/>
      </rPr>
      <t>m2/m2</t>
    </r>
  </si>
  <si>
    <r>
      <t>F</t>
    </r>
    <r>
      <rPr>
        <sz val="11"/>
        <rFont val="ＭＳ Ｐゴシック"/>
        <family val="0"/>
      </rPr>
      <t>P</t>
    </r>
  </si>
  <si>
    <t>イザット</t>
  </si>
  <si>
    <t>アルデ</t>
  </si>
  <si>
    <r>
      <t>M</t>
    </r>
    <r>
      <rPr>
        <sz val="11"/>
        <rFont val="ＭＳ Ｐゴシック"/>
        <family val="0"/>
      </rPr>
      <t>PV150/6</t>
    </r>
  </si>
  <si>
    <r>
      <t>8</t>
    </r>
    <r>
      <rPr>
        <sz val="11"/>
        <rFont val="ＭＳ Ｐゴシック"/>
        <family val="0"/>
      </rPr>
      <t>0Pa</t>
    </r>
  </si>
  <si>
    <r>
      <t>0</t>
    </r>
    <r>
      <rPr>
        <sz val="11"/>
        <rFont val="ＭＳ Ｐゴシック"/>
        <family val="0"/>
      </rPr>
      <t>.24 kcal/Kg℃</t>
    </r>
  </si>
  <si>
    <r>
      <t>1</t>
    </r>
    <r>
      <rPr>
        <sz val="11"/>
        <rFont val="ＭＳ Ｐゴシック"/>
        <family val="0"/>
      </rPr>
      <t xml:space="preserve"> cal=4.186J</t>
    </r>
  </si>
  <si>
    <r>
      <t>1</t>
    </r>
    <r>
      <rPr>
        <sz val="11"/>
        <rFont val="ＭＳ Ｐゴシック"/>
        <family val="0"/>
      </rPr>
      <t>013.25 ヘクトパスカル</t>
    </r>
  </si>
  <si>
    <r>
      <t>1</t>
    </r>
    <r>
      <rPr>
        <sz val="11"/>
        <rFont val="ＭＳ Ｐゴシック"/>
        <family val="0"/>
      </rPr>
      <t>.03Kg/cm2</t>
    </r>
  </si>
  <si>
    <r>
      <t>2</t>
    </r>
    <r>
      <rPr>
        <sz val="11"/>
        <rFont val="ＭＳ Ｐゴシック"/>
        <family val="0"/>
      </rPr>
      <t>5℃</t>
    </r>
  </si>
  <si>
    <t>27℃</t>
  </si>
  <si>
    <r>
      <t>h</t>
    </r>
    <r>
      <rPr>
        <sz val="11"/>
        <rFont val="ＭＳ Ｐゴシック"/>
        <family val="0"/>
      </rPr>
      <t>Pa</t>
    </r>
  </si>
  <si>
    <r>
      <t>g</t>
    </r>
    <r>
      <rPr>
        <sz val="11"/>
        <rFont val="ＭＳ Ｐゴシック"/>
        <family val="0"/>
      </rPr>
      <t>/m3</t>
    </r>
  </si>
  <si>
    <r>
      <t>k</t>
    </r>
    <r>
      <rPr>
        <sz val="11"/>
        <rFont val="ＭＳ Ｐゴシック"/>
        <family val="0"/>
      </rPr>
      <t>cal/kg</t>
    </r>
  </si>
  <si>
    <t>Ｊ/g</t>
  </si>
  <si>
    <r>
      <t>J</t>
    </r>
    <r>
      <rPr>
        <sz val="11"/>
        <rFont val="ＭＳ Ｐゴシック"/>
        <family val="0"/>
      </rPr>
      <t>=WS</t>
    </r>
  </si>
  <si>
    <r>
      <t>5</t>
    </r>
    <r>
      <rPr>
        <sz val="11"/>
        <rFont val="ＭＳ Ｐゴシック"/>
        <family val="0"/>
      </rPr>
      <t>0Kcal/hr</t>
    </r>
  </si>
  <si>
    <t>Ｗ</t>
  </si>
  <si>
    <r>
      <t>F</t>
    </r>
    <r>
      <rPr>
        <sz val="11"/>
        <rFont val="ＭＳ Ｐゴシック"/>
        <family val="0"/>
      </rPr>
      <t>P</t>
    </r>
  </si>
  <si>
    <t>イザット</t>
  </si>
  <si>
    <r>
      <t>F</t>
    </r>
    <r>
      <rPr>
        <sz val="11"/>
        <rFont val="ＭＳ Ｐゴシック"/>
        <family val="0"/>
      </rPr>
      <t xml:space="preserve">P </t>
    </r>
  </si>
  <si>
    <t>イザット</t>
  </si>
  <si>
    <t>冬の平均湿度</t>
  </si>
  <si>
    <t>電気代</t>
  </si>
  <si>
    <t>東京電力</t>
  </si>
  <si>
    <r>
      <t>1</t>
    </r>
    <r>
      <rPr>
        <sz val="11"/>
        <rFont val="ＭＳ Ｐゴシック"/>
        <family val="0"/>
      </rPr>
      <t>20KWhまで</t>
    </r>
  </si>
  <si>
    <r>
      <t>1</t>
    </r>
    <r>
      <rPr>
        <sz val="11"/>
        <rFont val="ＭＳ Ｐゴシック"/>
        <family val="0"/>
      </rPr>
      <t>20KWhから300KWh</t>
    </r>
  </si>
  <si>
    <r>
      <t>3</t>
    </r>
    <r>
      <rPr>
        <sz val="11"/>
        <rFont val="ＭＳ Ｐゴシック"/>
        <family val="0"/>
      </rPr>
      <t>00KWh超過</t>
    </r>
  </si>
  <si>
    <r>
      <t>K</t>
    </r>
    <r>
      <rPr>
        <sz val="11"/>
        <rFont val="ＭＳ Ｐゴシック"/>
        <family val="0"/>
      </rPr>
      <t>Wh単価</t>
    </r>
  </si>
  <si>
    <t>日運転時間</t>
  </si>
  <si>
    <r>
      <t>運転-月</t>
    </r>
    <r>
      <rPr>
        <sz val="11"/>
        <rFont val="ＭＳ Ｐゴシック"/>
        <family val="0"/>
      </rPr>
      <t xml:space="preserve"> KWh</t>
    </r>
  </si>
  <si>
    <r>
      <t>1</t>
    </r>
    <r>
      <rPr>
        <sz val="11"/>
        <rFont val="ＭＳ Ｐゴシック"/>
        <family val="0"/>
      </rPr>
      <t>20KWhまで</t>
    </r>
  </si>
  <si>
    <r>
      <t>1</t>
    </r>
    <r>
      <rPr>
        <sz val="11"/>
        <rFont val="ＭＳ Ｐゴシック"/>
        <family val="0"/>
      </rPr>
      <t>20KWhから300KWh</t>
    </r>
  </si>
  <si>
    <r>
      <t>3</t>
    </r>
    <r>
      <rPr>
        <sz val="11"/>
        <rFont val="ＭＳ Ｐゴシック"/>
        <family val="0"/>
      </rPr>
      <t>Mより</t>
    </r>
  </si>
  <si>
    <t>0℃</t>
  </si>
  <si>
    <t>5℃</t>
  </si>
  <si>
    <t>人間、炊事、洗濯は投入エネルギーが水蒸気の潜熱になると考えればよいので、流入熱として計算。</t>
  </si>
  <si>
    <t>20℃</t>
  </si>
  <si>
    <r>
      <t xml:space="preserve">必要加湿量 </t>
    </r>
    <r>
      <rPr>
        <sz val="11"/>
        <rFont val="ＭＳ Ｐゴシック"/>
        <family val="0"/>
      </rPr>
      <t>g/m3</t>
    </r>
  </si>
  <si>
    <t>暖房能力/入力</t>
  </si>
  <si>
    <r>
      <t>1</t>
    </r>
    <r>
      <rPr>
        <sz val="11"/>
        <rFont val="ＭＳ Ｐゴシック"/>
        <family val="0"/>
      </rPr>
      <t>6畳</t>
    </r>
  </si>
  <si>
    <t>グラスウール 50mm</t>
  </si>
  <si>
    <t>適当断熱</t>
  </si>
  <si>
    <r>
      <t>隙間　1</t>
    </r>
    <r>
      <rPr>
        <sz val="11"/>
        <rFont val="ＭＳ Ｐゴシック"/>
        <family val="0"/>
      </rPr>
      <t>0%がボードむき出し</t>
    </r>
  </si>
  <si>
    <t>極寒期</t>
  </si>
  <si>
    <t>極暑期</t>
  </si>
  <si>
    <t>換気比率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</si>
</sst>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%"/>
    <numFmt numFmtId="180" formatCode="#,##0.00_ "/>
    <numFmt numFmtId="181" formatCode="0.00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);[Red]\(0.000\)"/>
    <numFmt numFmtId="187" formatCode="#.##&quot;Kg&quot;"/>
    <numFmt numFmtId="188" formatCode="0.00_);[Red]\(0.00\)"/>
    <numFmt numFmtId="189" formatCode="#,###&quot;時間&quot;"/>
    <numFmt numFmtId="190" formatCode="#,###&quot;℃&quot;"/>
    <numFmt numFmtId="191" formatCode="##,##0&quot;℃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77" fontId="0" fillId="0" borderId="0" xfId="0" applyNumberFormat="1" applyFont="1" applyAlignment="1">
      <alignment horizontal="left" vertical="top" wrapText="1"/>
    </xf>
    <xf numFmtId="178" fontId="0" fillId="0" borderId="0" xfId="0" applyNumberFormat="1" applyFont="1" applyAlignment="1">
      <alignment horizontal="left" vertical="top" wrapText="1"/>
    </xf>
    <xf numFmtId="179" fontId="0" fillId="0" borderId="0" xfId="0" applyNumberFormat="1" applyFont="1" applyAlignment="1">
      <alignment horizontal="left" vertical="top" wrapText="1"/>
    </xf>
    <xf numFmtId="180" fontId="0" fillId="0" borderId="1" xfId="0" applyNumberFormat="1" applyFont="1" applyBorder="1" applyAlignment="1">
      <alignment horizontal="left" vertical="top" wrapText="1"/>
    </xf>
    <xf numFmtId="180" fontId="0" fillId="0" borderId="2" xfId="0" applyNumberFormat="1" applyFont="1" applyBorder="1" applyAlignment="1">
      <alignment horizontal="left" vertical="top" wrapText="1"/>
    </xf>
    <xf numFmtId="180" fontId="0" fillId="0" borderId="3" xfId="0" applyNumberFormat="1" applyFont="1" applyBorder="1" applyAlignment="1">
      <alignment horizontal="left" vertical="top" wrapText="1"/>
    </xf>
    <xf numFmtId="180" fontId="0" fillId="0" borderId="0" xfId="0" applyNumberFormat="1" applyFont="1" applyBorder="1" applyAlignment="1">
      <alignment horizontal="left" vertical="top" wrapText="1"/>
    </xf>
    <xf numFmtId="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 horizontal="left" vertical="top" wrapText="1"/>
    </xf>
    <xf numFmtId="186" fontId="0" fillId="0" borderId="0" xfId="0" applyNumberFormat="1" applyFont="1" applyAlignment="1">
      <alignment horizontal="left" vertical="top" wrapText="1"/>
    </xf>
    <xf numFmtId="186" fontId="0" fillId="0" borderId="0" xfId="0" applyNumberFormat="1" applyFont="1" applyBorder="1" applyAlignment="1">
      <alignment horizontal="left" vertical="top" wrapText="1"/>
    </xf>
    <xf numFmtId="177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87" fontId="0" fillId="0" borderId="0" xfId="0" applyNumberFormat="1" applyFont="1" applyAlignment="1">
      <alignment horizontal="left" vertical="top" wrapText="1"/>
    </xf>
    <xf numFmtId="177" fontId="0" fillId="0" borderId="0" xfId="0" applyNumberFormat="1" applyFont="1" applyBorder="1" applyAlignment="1">
      <alignment vertical="top" wrapText="1"/>
    </xf>
    <xf numFmtId="177" fontId="0" fillId="0" borderId="4" xfId="0" applyNumberFormat="1" applyFont="1" applyBorder="1" applyAlignment="1">
      <alignment vertical="top" wrapText="1"/>
    </xf>
    <xf numFmtId="177" fontId="0" fillId="2" borderId="5" xfId="0" applyNumberFormat="1" applyFont="1" applyFill="1" applyBorder="1" applyAlignment="1">
      <alignment vertical="top" wrapText="1"/>
    </xf>
    <xf numFmtId="177" fontId="0" fillId="2" borderId="4" xfId="0" applyNumberFormat="1" applyFont="1" applyFill="1" applyBorder="1" applyAlignment="1">
      <alignment vertical="top" wrapText="1"/>
    </xf>
    <xf numFmtId="177" fontId="0" fillId="2" borderId="0" xfId="0" applyNumberFormat="1" applyFont="1" applyFill="1" applyAlignment="1">
      <alignment horizontal="left" vertical="top" wrapText="1"/>
    </xf>
    <xf numFmtId="177" fontId="0" fillId="3" borderId="0" xfId="0" applyNumberFormat="1" applyFont="1" applyFill="1" applyAlignment="1">
      <alignment horizontal="left" vertical="top" wrapText="1"/>
    </xf>
    <xf numFmtId="188" fontId="0" fillId="0" borderId="0" xfId="0" applyNumberFormat="1" applyFont="1" applyAlignment="1">
      <alignment vertical="top" wrapText="1"/>
    </xf>
    <xf numFmtId="188" fontId="0" fillId="0" borderId="0" xfId="0" applyNumberFormat="1" applyFont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177" fontId="0" fillId="0" borderId="7" xfId="0" applyNumberFormat="1" applyFont="1" applyBorder="1" applyAlignment="1">
      <alignment vertical="top" wrapText="1"/>
    </xf>
    <xf numFmtId="177" fontId="0" fillId="0" borderId="8" xfId="0" applyNumberFormat="1" applyFont="1" applyBorder="1" applyAlignment="1">
      <alignment vertical="top" wrapText="1"/>
    </xf>
    <xf numFmtId="0" fontId="0" fillId="0" borderId="9" xfId="0" applyFont="1" applyBorder="1" applyAlignment="1">
      <alignment horizontal="left" vertical="top" wrapText="1"/>
    </xf>
    <xf numFmtId="177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177" fontId="0" fillId="0" borderId="12" xfId="0" applyNumberFormat="1" applyFont="1" applyBorder="1" applyAlignment="1">
      <alignment vertical="top" wrapText="1"/>
    </xf>
    <xf numFmtId="177" fontId="0" fillId="0" borderId="13" xfId="0" applyNumberFormat="1" applyFont="1" applyBorder="1" applyAlignment="1">
      <alignment vertical="top" wrapText="1"/>
    </xf>
    <xf numFmtId="177" fontId="0" fillId="0" borderId="0" xfId="0" applyNumberFormat="1" applyFont="1" applyAlignment="1">
      <alignment vertical="top"/>
    </xf>
    <xf numFmtId="177" fontId="0" fillId="2" borderId="14" xfId="0" applyNumberFormat="1" applyFont="1" applyFill="1" applyBorder="1" applyAlignment="1">
      <alignment vertical="top" wrapText="1"/>
    </xf>
    <xf numFmtId="0" fontId="3" fillId="0" borderId="0" xfId="16" applyAlignment="1">
      <alignment horizontal="left" vertical="top"/>
    </xf>
    <xf numFmtId="179" fontId="0" fillId="0" borderId="0" xfId="0" applyNumberFormat="1" applyFont="1" applyAlignment="1">
      <alignment vertical="top" wrapText="1"/>
    </xf>
    <xf numFmtId="5" fontId="0" fillId="0" borderId="0" xfId="0" applyNumberFormat="1" applyFont="1" applyAlignment="1">
      <alignment vertical="top" wrapText="1"/>
    </xf>
    <xf numFmtId="7" fontId="0" fillId="0" borderId="0" xfId="0" applyNumberFormat="1" applyFont="1" applyAlignment="1">
      <alignment horizontal="left" vertical="top" wrapText="1"/>
    </xf>
    <xf numFmtId="189" fontId="0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 horizontal="left" vertical="top" wrapText="1"/>
    </xf>
    <xf numFmtId="191" fontId="0" fillId="0" borderId="0" xfId="0" applyNumberFormat="1" applyAlignment="1">
      <alignment horizontal="left" vertical="top" wrapText="1"/>
    </xf>
    <xf numFmtId="180" fontId="0" fillId="0" borderId="0" xfId="0" applyNumberFormat="1" applyFont="1" applyAlignment="1">
      <alignment horizontal="left" vertical="top" wrapText="1"/>
    </xf>
    <xf numFmtId="177" fontId="0" fillId="0" borderId="15" xfId="0" applyNumberFormat="1" applyFont="1" applyFill="1" applyBorder="1" applyAlignment="1">
      <alignment vertical="top" wrapText="1"/>
    </xf>
    <xf numFmtId="177" fontId="0" fillId="0" borderId="16" xfId="0" applyNumberFormat="1" applyFont="1" applyFill="1" applyBorder="1" applyAlignment="1">
      <alignment vertical="top" wrapText="1"/>
    </xf>
    <xf numFmtId="177" fontId="0" fillId="0" borderId="17" xfId="0" applyNumberFormat="1" applyFont="1" applyFill="1" applyBorder="1" applyAlignment="1">
      <alignment vertical="top" wrapText="1"/>
    </xf>
    <xf numFmtId="177" fontId="0" fillId="0" borderId="18" xfId="0" applyNumberFormat="1" applyFont="1" applyFill="1" applyBorder="1" applyAlignment="1">
      <alignment vertical="top" wrapText="1"/>
    </xf>
    <xf numFmtId="177" fontId="0" fillId="0" borderId="0" xfId="0" applyNumberFormat="1" applyFont="1" applyFill="1" applyBorder="1" applyAlignment="1">
      <alignment vertical="top" wrapText="1"/>
    </xf>
    <xf numFmtId="177" fontId="0" fillId="0" borderId="19" xfId="0" applyNumberFormat="1" applyFont="1" applyFill="1" applyBorder="1" applyAlignment="1">
      <alignment vertical="top" wrapText="1"/>
    </xf>
    <xf numFmtId="177" fontId="0" fillId="0" borderId="20" xfId="0" applyNumberFormat="1" applyFont="1" applyFill="1" applyBorder="1" applyAlignment="1">
      <alignment vertical="top" wrapText="1"/>
    </xf>
    <xf numFmtId="177" fontId="0" fillId="0" borderId="21" xfId="0" applyNumberFormat="1" applyFont="1" applyFill="1" applyBorder="1" applyAlignment="1">
      <alignment vertical="top" wrapText="1"/>
    </xf>
    <xf numFmtId="0" fontId="0" fillId="3" borderId="0" xfId="0" applyFont="1" applyFill="1" applyAlignment="1">
      <alignment horizontal="left" vertical="top" wrapText="1"/>
    </xf>
    <xf numFmtId="5" fontId="0" fillId="3" borderId="0" xfId="0" applyNumberFormat="1" applyFont="1" applyFill="1" applyAlignment="1">
      <alignment vertical="top" wrapText="1"/>
    </xf>
    <xf numFmtId="177" fontId="0" fillId="3" borderId="0" xfId="0" applyNumberFormat="1" applyFont="1" applyFill="1" applyAlignment="1">
      <alignment vertical="top" wrapText="1"/>
    </xf>
    <xf numFmtId="9" fontId="0" fillId="3" borderId="0" xfId="0" applyNumberFormat="1" applyFont="1" applyFill="1" applyAlignment="1">
      <alignment horizontal="left" vertical="top" wrapText="1"/>
    </xf>
    <xf numFmtId="177" fontId="0" fillId="0" borderId="0" xfId="0" applyNumberFormat="1" applyFont="1" applyFill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h.ca/jp/erv/faq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134"/>
  <sheetViews>
    <sheetView tabSelected="1" workbookViewId="0" topLeftCell="A1">
      <pane ySplit="1" topLeftCell="BM14" activePane="bottomLeft" state="frozen"/>
      <selection pane="topLeft" activeCell="A1" sqref="A1"/>
      <selection pane="bottomLeft" activeCell="H104" sqref="H104"/>
    </sheetView>
  </sheetViews>
  <sheetFormatPr defaultColWidth="9.00390625" defaultRowHeight="13.5"/>
  <cols>
    <col min="1" max="1" width="19.875" style="1" customWidth="1"/>
    <col min="2" max="2" width="21.25390625" style="1" customWidth="1"/>
    <col min="3" max="3" width="13.50390625" style="1" customWidth="1"/>
    <col min="4" max="4" width="10.375" style="1" customWidth="1"/>
    <col min="5" max="5" width="9.25390625" style="1" customWidth="1"/>
    <col min="6" max="7" width="10.125" style="1" customWidth="1"/>
    <col min="8" max="8" width="10.625" style="1" customWidth="1"/>
    <col min="9" max="9" width="9.375" style="1" customWidth="1"/>
    <col min="10" max="10" width="10.125" style="1" customWidth="1"/>
    <col min="11" max="11" width="6.125" style="3" customWidth="1"/>
    <col min="12" max="12" width="8.375" style="1" customWidth="1"/>
    <col min="13" max="13" width="7.625" style="4" customWidth="1"/>
    <col min="14" max="14" width="9.00390625" style="4" customWidth="1"/>
    <col min="15" max="16" width="6.375" style="4" customWidth="1"/>
    <col min="17" max="18" width="11.00390625" style="1" customWidth="1"/>
    <col min="19" max="19" width="19.375" style="1" customWidth="1"/>
    <col min="20" max="16384" width="9.00390625" style="1" customWidth="1"/>
  </cols>
  <sheetData>
    <row r="1" ht="13.5">
      <c r="C1" s="2" t="s">
        <v>13</v>
      </c>
    </row>
    <row r="2" spans="3:9" ht="27">
      <c r="C2" s="1" t="s">
        <v>12</v>
      </c>
      <c r="D2" s="1" t="s">
        <v>8</v>
      </c>
      <c r="E2" s="1" t="s">
        <v>9</v>
      </c>
      <c r="F2" s="1" t="s">
        <v>10</v>
      </c>
      <c r="G2" s="1" t="s">
        <v>127</v>
      </c>
      <c r="H2" s="1" t="s">
        <v>128</v>
      </c>
      <c r="I2" s="1" t="s">
        <v>130</v>
      </c>
    </row>
    <row r="3" spans="1:5" ht="13.5">
      <c r="A3" s="1" t="s">
        <v>0</v>
      </c>
      <c r="B3" s="1" t="s">
        <v>1</v>
      </c>
      <c r="C3" s="1">
        <v>0.12</v>
      </c>
      <c r="D3" s="1" t="s">
        <v>26</v>
      </c>
      <c r="E3" s="1" t="s">
        <v>27</v>
      </c>
    </row>
    <row r="4" spans="2:4" ht="13.5">
      <c r="B4" s="1" t="s">
        <v>45</v>
      </c>
      <c r="D4" s="1">
        <v>0.13</v>
      </c>
    </row>
    <row r="5" spans="2:5" ht="13.5">
      <c r="B5" s="1" t="s">
        <v>28</v>
      </c>
      <c r="C5" s="1">
        <v>0.17</v>
      </c>
      <c r="D5" s="1">
        <v>0.15</v>
      </c>
      <c r="E5" s="1">
        <v>378</v>
      </c>
    </row>
    <row r="6" spans="2:5" ht="13.5">
      <c r="B6" s="1" t="s">
        <v>29</v>
      </c>
      <c r="D6" s="1" t="s">
        <v>30</v>
      </c>
      <c r="E6" s="1">
        <v>0</v>
      </c>
    </row>
    <row r="7" spans="2:5" ht="13.5">
      <c r="B7" s="1" t="s">
        <v>31</v>
      </c>
      <c r="C7" s="1">
        <v>1.6</v>
      </c>
      <c r="D7" s="1">
        <v>1.4</v>
      </c>
      <c r="E7" s="1" t="s">
        <v>32</v>
      </c>
    </row>
    <row r="8" spans="2:6" ht="13.5">
      <c r="B8" s="1" t="s">
        <v>2</v>
      </c>
      <c r="C8" s="1">
        <v>0.023</v>
      </c>
      <c r="D8" s="1">
        <v>0.023</v>
      </c>
      <c r="E8" s="1" t="s">
        <v>33</v>
      </c>
      <c r="F8" s="1" t="s">
        <v>3</v>
      </c>
    </row>
    <row r="9" spans="2:6" ht="27">
      <c r="B9" s="1" t="s">
        <v>131</v>
      </c>
      <c r="C9" s="1" t="s">
        <v>132</v>
      </c>
      <c r="D9" s="1">
        <v>0.028</v>
      </c>
      <c r="E9" s="1" t="s">
        <v>34</v>
      </c>
      <c r="F9" s="1" t="s">
        <v>4</v>
      </c>
    </row>
    <row r="10" spans="2:5" ht="13.5">
      <c r="B10" s="1" t="s">
        <v>35</v>
      </c>
      <c r="C10" s="1">
        <v>0.038</v>
      </c>
      <c r="D10" s="1">
        <v>0.031</v>
      </c>
      <c r="E10" s="1">
        <v>2100</v>
      </c>
    </row>
    <row r="11" spans="2:5" ht="13.5">
      <c r="B11" s="1" t="s">
        <v>36</v>
      </c>
      <c r="C11" s="1">
        <v>0.04</v>
      </c>
      <c r="D11" s="1">
        <v>0.035</v>
      </c>
      <c r="E11" s="1">
        <v>1500</v>
      </c>
    </row>
    <row r="12" spans="2:5" ht="18" customHeight="1">
      <c r="B12" s="1" t="s">
        <v>37</v>
      </c>
      <c r="C12" s="1" t="s">
        <v>38</v>
      </c>
      <c r="D12" s="1">
        <v>0.039</v>
      </c>
      <c r="E12" s="1">
        <v>2500</v>
      </c>
    </row>
    <row r="13" spans="2:9" ht="26.25" customHeight="1">
      <c r="B13" s="1" t="s">
        <v>126</v>
      </c>
      <c r="C13" s="1">
        <v>0.02</v>
      </c>
      <c r="D13" s="1">
        <v>0.017</v>
      </c>
      <c r="E13" s="1" t="s">
        <v>129</v>
      </c>
      <c r="F13" s="1">
        <v>1.5</v>
      </c>
      <c r="G13" s="1">
        <v>1.7</v>
      </c>
      <c r="H13" s="1">
        <v>27</v>
      </c>
      <c r="I13" s="1">
        <v>200</v>
      </c>
    </row>
    <row r="14" ht="18" customHeight="1">
      <c r="C14" s="2" t="s">
        <v>11</v>
      </c>
    </row>
    <row r="15" spans="4:12" ht="21.75" customHeight="1">
      <c r="D15" s="2" t="s">
        <v>25</v>
      </c>
      <c r="K15" s="3" t="s">
        <v>54</v>
      </c>
      <c r="L15" s="4"/>
    </row>
    <row r="16" spans="4:12" ht="10.5" customHeight="1">
      <c r="D16" s="2"/>
      <c r="K16" s="1" t="s">
        <v>52</v>
      </c>
      <c r="L16" s="4"/>
    </row>
    <row r="17" spans="3:14" ht="44.25" customHeight="1" thickBot="1">
      <c r="C17" s="1" t="s">
        <v>6</v>
      </c>
      <c r="D17" s="1" t="s">
        <v>49</v>
      </c>
      <c r="E17" s="1" t="s">
        <v>46</v>
      </c>
      <c r="F17" s="1" t="s">
        <v>17</v>
      </c>
      <c r="G17" s="1" t="s">
        <v>19</v>
      </c>
      <c r="H17" s="1" t="s">
        <v>44</v>
      </c>
      <c r="I17" s="1" t="s">
        <v>48</v>
      </c>
      <c r="K17" s="5">
        <v>0.1</v>
      </c>
      <c r="L17" s="5">
        <v>0.2</v>
      </c>
      <c r="M17" s="5">
        <v>0.4</v>
      </c>
      <c r="N17" s="4" t="s">
        <v>55</v>
      </c>
    </row>
    <row r="18" spans="1:14" ht="28.5" thickBot="1" thickTop="1">
      <c r="A18" s="1" t="s">
        <v>5</v>
      </c>
      <c r="B18" s="1" t="s">
        <v>39</v>
      </c>
      <c r="C18" s="5">
        <f>(2.5*3+5)/90</f>
        <v>0.1388888888888889</v>
      </c>
      <c r="D18" s="6">
        <f>C18*$D$4/0.105+(1-C18)*0.023/0.105</f>
        <v>0.3605820105820106</v>
      </c>
      <c r="E18" s="3">
        <f>D18/0.86</f>
        <v>0.41928140765350075</v>
      </c>
      <c r="K18" s="4">
        <f aca="true" t="shared" si="0" ref="K18:M24">$E$38*K$17+(1-K$17)*$E18</f>
        <v>0.6073532668881507</v>
      </c>
      <c r="L18" s="4">
        <f t="shared" si="0"/>
        <v>0.7954251261228006</v>
      </c>
      <c r="M18" s="4">
        <f t="shared" si="0"/>
        <v>1.1715688445921004</v>
      </c>
      <c r="N18" s="4">
        <f>$L$19/L18</f>
        <v>1.0097074637767602</v>
      </c>
    </row>
    <row r="19" spans="2:14" ht="54.75" thickTop="1">
      <c r="B19" s="1" t="s">
        <v>47</v>
      </c>
      <c r="C19" s="5" t="s">
        <v>43</v>
      </c>
      <c r="D19" s="6">
        <f>C18*$D$4/0.105+(1-C18-0.05)*0.023/0.105+0.05*H19</f>
        <v>0.36888268822589493</v>
      </c>
      <c r="E19" s="24">
        <f>D19/0.86</f>
        <v>0.4289333584022034</v>
      </c>
      <c r="F19" s="3"/>
      <c r="H19" s="1">
        <f>D26*I19/(D26+I19)</f>
        <v>0.3850611719253058</v>
      </c>
      <c r="I19" s="3">
        <f>$D$4/(0.105-0.05)</f>
        <v>2.363636363636364</v>
      </c>
      <c r="K19" s="4">
        <f t="shared" si="0"/>
        <v>0.6160400225619831</v>
      </c>
      <c r="L19" s="4">
        <f t="shared" si="0"/>
        <v>0.8031466867217627</v>
      </c>
      <c r="M19" s="4">
        <f t="shared" si="0"/>
        <v>1.177360015041322</v>
      </c>
      <c r="N19" s="4">
        <f>$L$19/L19</f>
        <v>1</v>
      </c>
    </row>
    <row r="20" spans="2:14" ht="27">
      <c r="B20" s="1" t="s">
        <v>7</v>
      </c>
      <c r="C20" s="5">
        <v>0.2</v>
      </c>
      <c r="D20" s="7">
        <f>0.2*G20+0.8*0.023/0.105</f>
        <v>0.24231605373501058</v>
      </c>
      <c r="E20" s="3">
        <f aca="true" t="shared" si="1" ref="E20:E29">D20/0.86</f>
        <v>0.28176285318024485</v>
      </c>
      <c r="F20" s="3">
        <f>$D$4/0.105</f>
        <v>1.2380952380952381</v>
      </c>
      <c r="G20" s="3">
        <f>F20*D26/(F20+D26)</f>
        <v>0.33538979248457657</v>
      </c>
      <c r="K20" s="4">
        <f t="shared" si="0"/>
        <v>0.4835865678622204</v>
      </c>
      <c r="L20" s="4">
        <f t="shared" si="0"/>
        <v>0.6854102825441959</v>
      </c>
      <c r="M20" s="4">
        <f t="shared" si="0"/>
        <v>1.0890577119081468</v>
      </c>
      <c r="N20" s="4">
        <f aca="true" t="shared" si="2" ref="N20:N33">$L$19/L20</f>
        <v>1.1717750771706217</v>
      </c>
    </row>
    <row r="21" spans="2:14" ht="27">
      <c r="B21" s="1" t="s">
        <v>18</v>
      </c>
      <c r="C21" s="5">
        <v>0.2</v>
      </c>
      <c r="D21" s="7">
        <f>0.2*G21+0.8*0.023/0.105</f>
        <v>0.2807985541966125</v>
      </c>
      <c r="E21" s="3">
        <f t="shared" si="1"/>
        <v>0.3265099467402471</v>
      </c>
      <c r="F21" s="3">
        <f>$D$4/0.105</f>
        <v>1.2380952380952381</v>
      </c>
      <c r="G21" s="3">
        <f>F21*D23/(F21+D23)</f>
        <v>0.5278022947925861</v>
      </c>
      <c r="K21" s="4">
        <f t="shared" si="0"/>
        <v>0.5238589520662223</v>
      </c>
      <c r="L21" s="4">
        <f t="shared" si="0"/>
        <v>0.7212079573921977</v>
      </c>
      <c r="M21" s="4">
        <f t="shared" si="0"/>
        <v>1.115905968044148</v>
      </c>
      <c r="N21" s="4">
        <f t="shared" si="2"/>
        <v>1.113613179790536</v>
      </c>
    </row>
    <row r="22" spans="2:14" ht="15" customHeight="1">
      <c r="B22" s="1" t="s">
        <v>20</v>
      </c>
      <c r="C22" s="5"/>
      <c r="D22" s="7">
        <f>D8/0.105</f>
        <v>0.21904761904761905</v>
      </c>
      <c r="E22" s="3">
        <f t="shared" si="1"/>
        <v>0.2547065337763012</v>
      </c>
      <c r="G22" s="1">
        <f>D22/D18</f>
        <v>0.607483492296405</v>
      </c>
      <c r="K22" s="4">
        <f t="shared" si="0"/>
        <v>0.4592358803986711</v>
      </c>
      <c r="L22" s="4">
        <f t="shared" si="0"/>
        <v>0.6637652270210409</v>
      </c>
      <c r="M22" s="4">
        <f t="shared" si="0"/>
        <v>1.0728239202657806</v>
      </c>
      <c r="N22" s="4">
        <f t="shared" si="2"/>
        <v>1.2099860824681368</v>
      </c>
    </row>
    <row r="23" spans="2:14" ht="13.5">
      <c r="B23" s="1" t="s">
        <v>21</v>
      </c>
      <c r="C23" s="5"/>
      <c r="D23" s="7">
        <f>C8/0.025</f>
        <v>0.9199999999999999</v>
      </c>
      <c r="E23" s="3">
        <f t="shared" si="1"/>
        <v>1.069767441860465</v>
      </c>
      <c r="K23" s="4">
        <f t="shared" si="0"/>
        <v>1.1927906976744185</v>
      </c>
      <c r="L23" s="4">
        <f t="shared" si="0"/>
        <v>1.3158139534883722</v>
      </c>
      <c r="M23" s="4">
        <f t="shared" si="0"/>
        <v>1.561860465116279</v>
      </c>
      <c r="N23" s="4">
        <f t="shared" si="2"/>
        <v>0.6103801259992188</v>
      </c>
    </row>
    <row r="24" spans="1:14" ht="27">
      <c r="A24" s="1" t="s">
        <v>164</v>
      </c>
      <c r="B24" s="1" t="s">
        <v>166</v>
      </c>
      <c r="C24" s="5">
        <f>38/455</f>
        <v>0.08351648351648351</v>
      </c>
      <c r="D24" s="7">
        <f>D8/0.055*(1-C24)+C24*D4/(0.089/2)</f>
        <v>0.6272374816195041</v>
      </c>
      <c r="E24" s="3">
        <f>D24/0.86</f>
        <v>0.7293459088598885</v>
      </c>
      <c r="K24" s="4">
        <f t="shared" si="0"/>
        <v>0.8864113179738996</v>
      </c>
      <c r="L24" s="4">
        <f t="shared" si="0"/>
        <v>1.0434767270879108</v>
      </c>
      <c r="M24" s="4">
        <f t="shared" si="0"/>
        <v>1.357607545315933</v>
      </c>
      <c r="N24" s="4">
        <f t="shared" si="2"/>
        <v>0.7696833727793329</v>
      </c>
    </row>
    <row r="25" spans="2:12" ht="27">
      <c r="B25" s="1" t="s">
        <v>200</v>
      </c>
      <c r="C25" s="5"/>
      <c r="D25" s="7">
        <f>1/(1/D24+1/(0.035/0.14))</f>
        <v>0.1787536142611962</v>
      </c>
      <c r="E25" s="24">
        <f>D25/0.86</f>
        <v>0.20785303983860023</v>
      </c>
      <c r="K25" s="4"/>
      <c r="L25" s="4"/>
    </row>
    <row r="26" spans="2:14" ht="13.5">
      <c r="B26" s="1" t="s">
        <v>22</v>
      </c>
      <c r="C26" s="5"/>
      <c r="D26" s="7">
        <f>D8/0.05</f>
        <v>0.45999999999999996</v>
      </c>
      <c r="E26" s="3">
        <f t="shared" si="1"/>
        <v>0.5348837209302325</v>
      </c>
      <c r="K26" s="4">
        <f aca="true" t="shared" si="3" ref="K26:M28">$E$38*K$17+(1-K$17)*$E26</f>
        <v>0.7113953488372092</v>
      </c>
      <c r="L26" s="4">
        <f t="shared" si="3"/>
        <v>0.8879069767441861</v>
      </c>
      <c r="M26" s="4">
        <f t="shared" si="3"/>
        <v>1.2409302325581395</v>
      </c>
      <c r="N26" s="4">
        <f t="shared" si="2"/>
        <v>0.904539222866312</v>
      </c>
    </row>
    <row r="27" spans="1:14" ht="27.75" thickBot="1">
      <c r="A27" s="1" t="s">
        <v>62</v>
      </c>
      <c r="B27" s="1" t="s">
        <v>23</v>
      </c>
      <c r="C27" s="5"/>
      <c r="D27" s="8">
        <f>D9/0.05</f>
        <v>0.5599999999999999</v>
      </c>
      <c r="E27" s="25">
        <f t="shared" si="1"/>
        <v>0.6511627906976744</v>
      </c>
      <c r="K27" s="4">
        <f t="shared" si="3"/>
        <v>0.8160465116279069</v>
      </c>
      <c r="L27" s="4">
        <f t="shared" si="3"/>
        <v>0.9809302325581395</v>
      </c>
      <c r="M27" s="4">
        <f t="shared" si="3"/>
        <v>1.3106976744186045</v>
      </c>
      <c r="N27" s="4">
        <f t="shared" si="2"/>
        <v>0.8187602543631057</v>
      </c>
    </row>
    <row r="28" spans="1:14" ht="41.25" thickTop="1">
      <c r="A28" s="1" t="s">
        <v>327</v>
      </c>
      <c r="B28" s="1" t="s">
        <v>326</v>
      </c>
      <c r="C28" s="5">
        <v>0.1</v>
      </c>
      <c r="D28" s="6">
        <f>C28*$D$4/0.105+(1-C28-0.1)*D12/0.055+0.1*$D$4/0.01</f>
        <v>1.991082251082251</v>
      </c>
      <c r="E28" s="25">
        <f>D28/0.86</f>
        <v>2.3152119198630827</v>
      </c>
      <c r="G28" s="1" t="s">
        <v>328</v>
      </c>
      <c r="K28" s="4">
        <f t="shared" si="3"/>
        <v>2.3136907278767747</v>
      </c>
      <c r="L28" s="4">
        <f t="shared" si="3"/>
        <v>2.312169535890466</v>
      </c>
      <c r="M28" s="4">
        <f t="shared" si="3"/>
        <v>2.3091271519178496</v>
      </c>
      <c r="N28" s="4">
        <f t="shared" si="2"/>
        <v>0.3473563137369396</v>
      </c>
    </row>
    <row r="29" spans="1:12" ht="13.5">
      <c r="A29" s="1" t="s">
        <v>169</v>
      </c>
      <c r="B29" s="1" t="s">
        <v>170</v>
      </c>
      <c r="C29" s="5">
        <f>38/455</f>
        <v>0.08351648351648351</v>
      </c>
      <c r="D29" s="9">
        <f>D9/0.055*(1-C29)+C29*D4/(0.055/2)</f>
        <v>0.8613786213786214</v>
      </c>
      <c r="E29" s="25">
        <f t="shared" si="1"/>
        <v>1.001603048114676</v>
      </c>
      <c r="K29" s="4"/>
      <c r="L29" s="4"/>
    </row>
    <row r="30" spans="1:12" ht="13.5">
      <c r="A30" s="1" t="s">
        <v>172</v>
      </c>
      <c r="B30" s="1" t="s">
        <v>175</v>
      </c>
      <c r="C30" s="5"/>
      <c r="D30" s="9">
        <f>D9/0.055*(1-C29)+C29*(1/(1/(D4/(0.055/2))+1/(D9/0.055)))</f>
        <v>0.504957264957265</v>
      </c>
      <c r="E30" s="25">
        <f>D30/0.86</f>
        <v>0.5871596104154244</v>
      </c>
      <c r="K30" s="4"/>
      <c r="L30" s="4"/>
    </row>
    <row r="31" spans="1:12" ht="13.5">
      <c r="A31" s="1" t="s">
        <v>173</v>
      </c>
      <c r="B31" s="1" t="s">
        <v>174</v>
      </c>
      <c r="C31" s="5"/>
      <c r="D31" s="9">
        <f>1/(1/D29+1/(D9/0.055))</f>
        <v>0.31997794601013635</v>
      </c>
      <c r="E31" s="25">
        <f>D31/0.86</f>
        <v>0.3720673790815539</v>
      </c>
      <c r="K31" s="4"/>
      <c r="L31" s="4"/>
    </row>
    <row r="32" spans="2:14" ht="27">
      <c r="B32" s="1" t="s">
        <v>151</v>
      </c>
      <c r="C32" s="5"/>
      <c r="D32" s="9">
        <f>$D$13/0.05</f>
        <v>0.34</v>
      </c>
      <c r="E32" s="25">
        <f>C13/0.05</f>
        <v>0.39999999999999997</v>
      </c>
      <c r="K32" s="4">
        <f aca="true" t="shared" si="4" ref="K32:M33">$E$38*K$17+(1-K$17)*$E32</f>
        <v>0.59</v>
      </c>
      <c r="L32" s="4">
        <f t="shared" si="4"/>
        <v>0.78</v>
      </c>
      <c r="M32" s="4">
        <f t="shared" si="4"/>
        <v>1.16</v>
      </c>
      <c r="N32" s="4">
        <f t="shared" si="2"/>
        <v>1.0296752393868753</v>
      </c>
    </row>
    <row r="33" spans="1:14" ht="27">
      <c r="A33" s="1" t="s">
        <v>153</v>
      </c>
      <c r="B33" s="1" t="s">
        <v>152</v>
      </c>
      <c r="C33" s="5"/>
      <c r="D33" s="9">
        <f>$D$13/0.035</f>
        <v>0.4857142857142857</v>
      </c>
      <c r="E33" s="25">
        <f>C13/0.035</f>
        <v>0.5714285714285714</v>
      </c>
      <c r="K33" s="4">
        <f t="shared" si="4"/>
        <v>0.7442857142857142</v>
      </c>
      <c r="L33" s="4">
        <f t="shared" si="4"/>
        <v>0.917142857142857</v>
      </c>
      <c r="M33" s="4">
        <f t="shared" si="4"/>
        <v>1.2628571428571427</v>
      </c>
      <c r="N33" s="4">
        <f t="shared" si="2"/>
        <v>0.8757051101327632</v>
      </c>
    </row>
    <row r="34" spans="2:7" ht="27">
      <c r="B34" s="1" t="s">
        <v>50</v>
      </c>
      <c r="C34" s="5"/>
      <c r="D34" s="9"/>
      <c r="E34" s="3">
        <v>6.5</v>
      </c>
      <c r="G34" s="1" t="s">
        <v>146</v>
      </c>
    </row>
    <row r="35" spans="2:7" ht="27">
      <c r="B35" s="1" t="s">
        <v>51</v>
      </c>
      <c r="C35" s="5"/>
      <c r="D35" s="9"/>
      <c r="E35" s="3">
        <v>2.3</v>
      </c>
      <c r="G35" s="1">
        <f>1/(1/E35+$C$38/0.86)</f>
        <v>1.89463601532567</v>
      </c>
    </row>
    <row r="36" spans="2:7" ht="13.5">
      <c r="B36" s="1" t="s">
        <v>145</v>
      </c>
      <c r="E36" s="1">
        <v>1.75</v>
      </c>
      <c r="G36" s="1">
        <f>1/(1/E36+$C$38/0.86)</f>
        <v>1.505</v>
      </c>
    </row>
    <row r="37" spans="1:5" ht="27">
      <c r="A37" s="1" t="s">
        <v>141</v>
      </c>
      <c r="B37" s="1" t="s">
        <v>142</v>
      </c>
      <c r="C37" s="5" t="s">
        <v>143</v>
      </c>
      <c r="D37" s="9"/>
      <c r="E37" s="3"/>
    </row>
    <row r="38" spans="1:5" ht="13.5">
      <c r="A38" s="1" t="s">
        <v>144</v>
      </c>
      <c r="B38" s="1">
        <f>0.55-0.42</f>
        <v>0.13000000000000006</v>
      </c>
      <c r="C38" s="3">
        <f>0.5-0.42</f>
        <v>0.08000000000000002</v>
      </c>
      <c r="D38" s="9"/>
      <c r="E38" s="3">
        <v>2.3</v>
      </c>
    </row>
    <row r="39" spans="1:6" ht="27">
      <c r="A39" s="1" t="s">
        <v>53</v>
      </c>
      <c r="C39" s="5"/>
      <c r="D39" s="9"/>
      <c r="E39" s="3"/>
      <c r="F39" s="1" t="s">
        <v>56</v>
      </c>
    </row>
    <row r="40" spans="2:5" ht="13.5">
      <c r="B40" s="1" t="s">
        <v>57</v>
      </c>
      <c r="C40" s="5" t="s">
        <v>58</v>
      </c>
      <c r="D40" s="9" t="s">
        <v>59</v>
      </c>
      <c r="E40" s="3"/>
    </row>
    <row r="41" spans="1:5" ht="13.5">
      <c r="A41" s="1" t="s">
        <v>140</v>
      </c>
      <c r="C41" s="15">
        <v>0.344</v>
      </c>
      <c r="D41" s="16">
        <v>0.43</v>
      </c>
      <c r="E41" s="3"/>
    </row>
    <row r="42" spans="1:5" ht="13.5">
      <c r="A42" s="1" t="s">
        <v>139</v>
      </c>
      <c r="C42" s="15">
        <v>2.5</v>
      </c>
      <c r="D42" s="16">
        <v>2</v>
      </c>
      <c r="E42" s="3"/>
    </row>
    <row r="43" spans="2:5" ht="13.5">
      <c r="B43" s="1" t="s">
        <v>60</v>
      </c>
      <c r="C43" s="15">
        <f>1/C41</f>
        <v>2.906976744186047</v>
      </c>
      <c r="D43" s="15">
        <f>1/D41</f>
        <v>2.3255813953488373</v>
      </c>
      <c r="E43" s="3"/>
    </row>
    <row r="44" spans="3:4" ht="13.5">
      <c r="C44" s="15"/>
      <c r="D44" s="15"/>
    </row>
    <row r="45" spans="1:6" ht="30" customHeight="1">
      <c r="A45" s="1" t="s">
        <v>135</v>
      </c>
      <c r="B45" s="1" t="s">
        <v>133</v>
      </c>
      <c r="C45" s="1" t="s">
        <v>134</v>
      </c>
      <c r="E45" s="1" t="s">
        <v>15</v>
      </c>
      <c r="F45" s="1" t="s">
        <v>14</v>
      </c>
    </row>
    <row r="46" spans="1:3" ht="15.75" customHeight="1">
      <c r="A46" s="1" t="s">
        <v>136</v>
      </c>
      <c r="B46" s="1">
        <v>2.33</v>
      </c>
      <c r="C46" s="3">
        <v>2</v>
      </c>
    </row>
    <row r="47" spans="1:6" ht="13.5">
      <c r="A47" s="1" t="s">
        <v>138</v>
      </c>
      <c r="B47" s="1">
        <v>3.49</v>
      </c>
      <c r="C47" s="3">
        <v>3</v>
      </c>
      <c r="E47" s="1" t="s">
        <v>40</v>
      </c>
      <c r="F47" s="1">
        <v>0.53</v>
      </c>
    </row>
    <row r="48" spans="1:6" ht="13.5">
      <c r="A48" s="14" t="s">
        <v>137</v>
      </c>
      <c r="B48" s="3">
        <v>4.65</v>
      </c>
      <c r="C48" s="3">
        <v>4</v>
      </c>
      <c r="E48" s="1" t="s">
        <v>41</v>
      </c>
      <c r="F48" s="1">
        <v>0.53</v>
      </c>
    </row>
    <row r="49" spans="5:6" ht="13.5">
      <c r="E49" s="1" t="s">
        <v>42</v>
      </c>
      <c r="F49" s="1">
        <v>0.53</v>
      </c>
    </row>
    <row r="51" spans="5:6" ht="13.5">
      <c r="E51" s="1" t="s">
        <v>24</v>
      </c>
      <c r="F51" s="2" t="s">
        <v>16</v>
      </c>
    </row>
    <row r="53" spans="1:3" ht="13.5">
      <c r="A53" s="1" t="s">
        <v>61</v>
      </c>
      <c r="B53" s="1" t="s">
        <v>62</v>
      </c>
      <c r="C53" s="1">
        <v>0.6</v>
      </c>
    </row>
    <row r="54" spans="1:3" ht="13.5">
      <c r="A54" s="1" t="s">
        <v>82</v>
      </c>
      <c r="B54" s="1" t="s">
        <v>63</v>
      </c>
      <c r="C54" s="1">
        <v>0.3</v>
      </c>
    </row>
    <row r="55" spans="1:3" ht="67.5">
      <c r="A55" s="1" t="s">
        <v>83</v>
      </c>
      <c r="B55" s="1" t="s">
        <v>64</v>
      </c>
      <c r="C55" s="1">
        <v>0.18</v>
      </c>
    </row>
    <row r="57" spans="3:7" ht="27">
      <c r="C57" s="1" t="s">
        <v>67</v>
      </c>
      <c r="D57" s="1" t="s">
        <v>68</v>
      </c>
      <c r="F57" s="1" t="s">
        <v>73</v>
      </c>
      <c r="G57" s="1" t="s">
        <v>74</v>
      </c>
    </row>
    <row r="58" spans="1:7" ht="13.5">
      <c r="A58" s="1" t="s">
        <v>65</v>
      </c>
      <c r="B58" s="1" t="s">
        <v>66</v>
      </c>
      <c r="C58" s="1" t="s">
        <v>70</v>
      </c>
      <c r="D58" s="1" t="s">
        <v>69</v>
      </c>
      <c r="F58" s="1" t="s">
        <v>76</v>
      </c>
      <c r="G58" s="1" t="s">
        <v>75</v>
      </c>
    </row>
    <row r="59" spans="1:7" ht="27">
      <c r="A59" s="1" t="s">
        <v>186</v>
      </c>
      <c r="B59" s="1">
        <f>1.25</f>
        <v>1.25</v>
      </c>
      <c r="C59" s="1" t="s">
        <v>84</v>
      </c>
      <c r="F59" s="1" t="s">
        <v>78</v>
      </c>
      <c r="G59" s="1" t="s">
        <v>77</v>
      </c>
    </row>
    <row r="60" spans="1:7" ht="40.5">
      <c r="A60" s="1" t="s">
        <v>187</v>
      </c>
      <c r="B60" s="1">
        <f>1.006</f>
        <v>1.006</v>
      </c>
      <c r="C60" s="1" t="s">
        <v>120</v>
      </c>
      <c r="D60" s="1" t="s">
        <v>79</v>
      </c>
      <c r="E60" s="1" t="s">
        <v>80</v>
      </c>
      <c r="F60" s="1" t="s">
        <v>81</v>
      </c>
      <c r="G60" s="1">
        <f>1.006/4.186</f>
        <v>0.24032489249880554</v>
      </c>
    </row>
    <row r="61" spans="1:3" ht="13.5">
      <c r="A61" s="1" t="s">
        <v>85</v>
      </c>
      <c r="B61" s="1" t="s">
        <v>86</v>
      </c>
      <c r="C61" s="1" t="s">
        <v>87</v>
      </c>
    </row>
    <row r="62" spans="1:8" ht="13.5">
      <c r="A62" s="1" t="s">
        <v>71</v>
      </c>
      <c r="C62" s="1" t="s">
        <v>89</v>
      </c>
      <c r="D62" s="14" t="s">
        <v>219</v>
      </c>
      <c r="E62" s="1" t="s">
        <v>218</v>
      </c>
      <c r="F62" s="1" t="s">
        <v>220</v>
      </c>
      <c r="G62" s="1" t="s">
        <v>90</v>
      </c>
      <c r="H62" s="2" t="s">
        <v>88</v>
      </c>
    </row>
    <row r="63" spans="2:7" ht="13.5">
      <c r="B63" s="1" t="s">
        <v>91</v>
      </c>
      <c r="C63" s="26">
        <v>31.69</v>
      </c>
      <c r="D63" s="26">
        <v>35.66</v>
      </c>
      <c r="E63" s="26">
        <v>42.44</v>
      </c>
      <c r="F63" s="26">
        <v>47.56</v>
      </c>
      <c r="G63" s="26">
        <v>56.24</v>
      </c>
    </row>
    <row r="64" spans="2:7" ht="13.5">
      <c r="B64" s="1" t="s">
        <v>92</v>
      </c>
      <c r="C64" s="26">
        <v>23.06</v>
      </c>
      <c r="D64" s="26">
        <v>25.78</v>
      </c>
      <c r="E64" s="26">
        <v>30.38</v>
      </c>
      <c r="F64" s="26">
        <v>33.82</v>
      </c>
      <c r="G64" s="26">
        <v>39.6</v>
      </c>
    </row>
    <row r="65" spans="1:7" ht="13.5">
      <c r="A65" s="1" t="s">
        <v>72</v>
      </c>
      <c r="B65" s="1" t="s">
        <v>93</v>
      </c>
      <c r="C65" s="26">
        <v>583.1</v>
      </c>
      <c r="D65" s="26">
        <v>581.9</v>
      </c>
      <c r="E65" s="26">
        <v>580.2</v>
      </c>
      <c r="F65" s="26">
        <v>579.1</v>
      </c>
      <c r="G65" s="26">
        <v>577.4</v>
      </c>
    </row>
    <row r="66" spans="2:7" ht="13.5">
      <c r="B66" s="14" t="s">
        <v>193</v>
      </c>
      <c r="C66" s="26">
        <f>C65*4.186</f>
        <v>2440.8566</v>
      </c>
      <c r="D66" s="26">
        <v>2435</v>
      </c>
      <c r="E66" s="26">
        <f>E65*4.186</f>
        <v>2428.7172</v>
      </c>
      <c r="F66" s="26">
        <v>2423</v>
      </c>
      <c r="G66" s="26">
        <f>G65*4.186</f>
        <v>2416.9964</v>
      </c>
    </row>
    <row r="67" spans="1:8" ht="13.5">
      <c r="A67" s="1" t="s">
        <v>115</v>
      </c>
      <c r="B67" s="14" t="s">
        <v>116</v>
      </c>
      <c r="C67" s="1" t="s">
        <v>114</v>
      </c>
      <c r="D67" s="1" t="s">
        <v>118</v>
      </c>
      <c r="E67" s="1" t="s">
        <v>117</v>
      </c>
      <c r="G67" s="1">
        <f>50*1000*4.186/(60*60)</f>
        <v>58.138888888888886</v>
      </c>
      <c r="H67" s="1" t="s">
        <v>119</v>
      </c>
    </row>
    <row r="68" spans="1:4" ht="13.5">
      <c r="A68" s="1" t="s">
        <v>94</v>
      </c>
      <c r="B68" s="1" t="s">
        <v>195</v>
      </c>
      <c r="C68" s="1" t="s">
        <v>95</v>
      </c>
      <c r="D68" s="10" t="s">
        <v>96</v>
      </c>
    </row>
    <row r="69" spans="2:4" ht="13.5">
      <c r="B69" s="10">
        <v>0.85</v>
      </c>
      <c r="C69" s="10">
        <v>0.65</v>
      </c>
      <c r="D69" s="10">
        <v>0.55</v>
      </c>
    </row>
    <row r="70" spans="1:4" ht="13.5">
      <c r="A70" s="1" t="s">
        <v>97</v>
      </c>
      <c r="B70" s="1" t="s">
        <v>201</v>
      </c>
      <c r="C70" s="1" t="s">
        <v>98</v>
      </c>
      <c r="D70" s="1" t="s">
        <v>99</v>
      </c>
    </row>
    <row r="71" spans="1:5" ht="13.5">
      <c r="A71" s="1" t="s">
        <v>202</v>
      </c>
      <c r="B71" s="1">
        <f>(C71+D71)*1000/24/2600</f>
        <v>0.42788461538461536</v>
      </c>
      <c r="C71" s="19">
        <v>12.7</v>
      </c>
      <c r="D71" s="19">
        <v>14</v>
      </c>
      <c r="E71" s="2" t="s">
        <v>321</v>
      </c>
    </row>
    <row r="72" spans="1:4" ht="13.5">
      <c r="A72" s="1" t="s">
        <v>203</v>
      </c>
      <c r="B72" s="1">
        <f>(C72+D72)*1000/24/2600</f>
        <v>0.20352564102564102</v>
      </c>
      <c r="C72" s="19">
        <v>12.7</v>
      </c>
      <c r="D72" s="19"/>
    </row>
    <row r="73" spans="2:12" ht="28.5" customHeight="1">
      <c r="B73" s="1" t="s">
        <v>150</v>
      </c>
      <c r="C73" s="1" t="s">
        <v>198</v>
      </c>
      <c r="D73" s="1" t="s">
        <v>168</v>
      </c>
      <c r="E73" s="1" t="s">
        <v>199</v>
      </c>
      <c r="F73" s="1" t="s">
        <v>160</v>
      </c>
      <c r="G73" s="1" t="s">
        <v>181</v>
      </c>
      <c r="H73" s="1" t="s">
        <v>159</v>
      </c>
      <c r="I73" s="1" t="s">
        <v>239</v>
      </c>
      <c r="J73" s="1" t="s">
        <v>242</v>
      </c>
      <c r="K73" s="3" t="s">
        <v>243</v>
      </c>
      <c r="L73" s="1" t="s">
        <v>240</v>
      </c>
    </row>
    <row r="74" spans="2:12" ht="28.5" customHeight="1">
      <c r="B74" s="1" t="s">
        <v>165</v>
      </c>
      <c r="C74" s="1">
        <v>32</v>
      </c>
      <c r="D74" s="1">
        <v>60</v>
      </c>
      <c r="E74" s="5">
        <v>0.85</v>
      </c>
      <c r="L74" s="1">
        <f>F75*G75</f>
        <v>44.1</v>
      </c>
    </row>
    <row r="75" spans="1:11" ht="27">
      <c r="A75" s="1" t="s">
        <v>121</v>
      </c>
      <c r="B75" s="1" t="s">
        <v>197</v>
      </c>
      <c r="C75" s="1">
        <v>27</v>
      </c>
      <c r="E75" s="5">
        <v>0.6</v>
      </c>
      <c r="F75" s="1">
        <f>7*0.9</f>
        <v>6.3</v>
      </c>
      <c r="G75" s="1">
        <f>10*0.7</f>
        <v>7</v>
      </c>
      <c r="H75" s="1">
        <f>0.5+2.5+0.42+2.4+0.35+1.4+0.5</f>
        <v>8.07</v>
      </c>
      <c r="I75" s="1">
        <f>H75-1.4</f>
        <v>6.67</v>
      </c>
      <c r="J75" s="1">
        <v>0.6</v>
      </c>
      <c r="K75" s="3">
        <v>1</v>
      </c>
    </row>
    <row r="76" spans="2:17" ht="54">
      <c r="B76" s="1" t="s">
        <v>155</v>
      </c>
      <c r="C76" s="1" t="s">
        <v>156</v>
      </c>
      <c r="D76" s="1" t="s">
        <v>204</v>
      </c>
      <c r="E76" s="1" t="s">
        <v>122</v>
      </c>
      <c r="F76" s="1" t="s">
        <v>157</v>
      </c>
      <c r="G76" s="1" t="s">
        <v>158</v>
      </c>
      <c r="H76" s="1" t="s">
        <v>124</v>
      </c>
      <c r="I76" s="1" t="s">
        <v>205</v>
      </c>
      <c r="J76" s="1" t="s">
        <v>125</v>
      </c>
      <c r="K76" s="1" t="s">
        <v>206</v>
      </c>
      <c r="L76" s="3" t="s">
        <v>241</v>
      </c>
      <c r="M76" s="1" t="s">
        <v>244</v>
      </c>
      <c r="Q76" s="4"/>
    </row>
    <row r="77" spans="1:17" ht="13.5">
      <c r="A77" s="1" t="s">
        <v>163</v>
      </c>
      <c r="B77" s="17">
        <f>7.5*9*0.9*0.9</f>
        <v>54.675000000000004</v>
      </c>
      <c r="C77" s="17">
        <f>7.5*2*0.9*0.9</f>
        <v>12.15</v>
      </c>
      <c r="D77" s="17"/>
      <c r="E77" s="17">
        <f>F75*(H75+I75)/2</f>
        <v>46.431</v>
      </c>
      <c r="F77" s="17">
        <f>G75*I75</f>
        <v>46.69</v>
      </c>
      <c r="G77" s="17">
        <f>G75*I75</f>
        <v>46.69</v>
      </c>
      <c r="H77" s="17">
        <f>F75*I75</f>
        <v>42.021</v>
      </c>
      <c r="J77" s="17">
        <f>F75*G75</f>
        <v>44.1</v>
      </c>
      <c r="K77" s="1"/>
      <c r="L77" s="3">
        <f>J75*(F75+G75)*2</f>
        <v>15.96</v>
      </c>
      <c r="M77" s="1">
        <f>(F75*G75-(F75-K75*2)*(G75-K75*2))</f>
        <v>22.6</v>
      </c>
      <c r="Q77" s="4"/>
    </row>
    <row r="78" spans="1:17" ht="13.5">
      <c r="A78" s="1" t="s">
        <v>123</v>
      </c>
      <c r="B78" s="17">
        <f>0.3*0.3*2</f>
        <v>0.18</v>
      </c>
      <c r="C78" s="17">
        <v>0</v>
      </c>
      <c r="D78" s="17"/>
      <c r="E78" s="17">
        <f>1.8*1.5*(4)</f>
        <v>10.8</v>
      </c>
      <c r="F78" s="17">
        <f>1.2*0.6*2+0.9*1.5*3</f>
        <v>5.49</v>
      </c>
      <c r="G78" s="17">
        <f>0.9*1.5*2+0.6*0.9*2</f>
        <v>3.7800000000000002</v>
      </c>
      <c r="H78" s="17">
        <f>0.45*1.2*2+0.45*0.6*2+0.9*0.9</f>
        <v>2.43</v>
      </c>
      <c r="J78" s="17">
        <v>0</v>
      </c>
      <c r="K78" s="1"/>
      <c r="L78" s="3"/>
      <c r="M78" s="1"/>
      <c r="Q78" s="4"/>
    </row>
    <row r="79" spans="1:17" ht="13.5">
      <c r="A79" s="1" t="s">
        <v>154</v>
      </c>
      <c r="B79" s="17">
        <f>B77-B78</f>
        <v>54.495000000000005</v>
      </c>
      <c r="C79" s="17">
        <f aca="true" t="shared" si="5" ref="C79:H79">C77-C78</f>
        <v>12.15</v>
      </c>
      <c r="D79" s="17"/>
      <c r="E79" s="17">
        <f t="shared" si="5"/>
        <v>35.631</v>
      </c>
      <c r="F79" s="17">
        <f t="shared" si="5"/>
        <v>41.199999999999996</v>
      </c>
      <c r="G79" s="17">
        <f t="shared" si="5"/>
        <v>42.91</v>
      </c>
      <c r="H79" s="17">
        <f t="shared" si="5"/>
        <v>39.591</v>
      </c>
      <c r="J79" s="17">
        <f>J77-J78</f>
        <v>44.1</v>
      </c>
      <c r="K79" s="1"/>
      <c r="L79" s="3"/>
      <c r="M79" s="1"/>
      <c r="Q79" s="4"/>
    </row>
    <row r="80" spans="1:17" ht="13.5">
      <c r="A80" s="1" t="s">
        <v>148</v>
      </c>
      <c r="B80" s="17">
        <v>37</v>
      </c>
      <c r="C80" s="17">
        <f>$C$74+2</f>
        <v>34</v>
      </c>
      <c r="D80" s="17"/>
      <c r="E80" s="17">
        <f>$C$74+2</f>
        <v>34</v>
      </c>
      <c r="F80" s="17">
        <f>$C$74</f>
        <v>32</v>
      </c>
      <c r="G80" s="17">
        <f>$C$74</f>
        <v>32</v>
      </c>
      <c r="H80" s="17">
        <f>$C$74</f>
        <v>32</v>
      </c>
      <c r="J80" s="17">
        <f>$C$74-2</f>
        <v>30</v>
      </c>
      <c r="K80" s="1"/>
      <c r="L80" s="3"/>
      <c r="M80" s="1"/>
      <c r="Q80" s="4"/>
    </row>
    <row r="81" spans="1:17" ht="13.5">
      <c r="A81" s="1" t="s">
        <v>167</v>
      </c>
      <c r="B81" s="22">
        <f>$D81*B$79*(B$80-$C$75)</f>
        <v>113.2695140600452</v>
      </c>
      <c r="C81" s="23">
        <f>$D81*C$79*(C$80-$C$75)</f>
        <v>17.67790103827295</v>
      </c>
      <c r="D81" s="21">
        <f>$E$25</f>
        <v>0.20785303983860023</v>
      </c>
      <c r="E81" s="23">
        <f>$I81*E$79*(E80-$C$75)</f>
        <v>106.98327145260237</v>
      </c>
      <c r="F81" s="23">
        <f>$I81*F$79*(F80-$C$75)</f>
        <v>88.3602718308539</v>
      </c>
      <c r="G81" s="23">
        <f>$I81*G$79*(G80-$C$75)</f>
        <v>92.02765204519274</v>
      </c>
      <c r="H81" s="23">
        <f>$I81*H$79*(H80-$C$75)</f>
        <v>84.90950296250817</v>
      </c>
      <c r="I81" s="21">
        <f>$E$19</f>
        <v>0.4289333584022034</v>
      </c>
      <c r="J81" s="37">
        <f>K81*J79*(J80-C75)</f>
        <v>56.747883316611514</v>
      </c>
      <c r="K81" s="3">
        <f>E19</f>
        <v>0.4289333584022034</v>
      </c>
      <c r="L81" s="3"/>
      <c r="M81" s="1"/>
      <c r="Q81" s="4"/>
    </row>
    <row r="82" spans="1:17" ht="13.5">
      <c r="A82" s="1" t="s">
        <v>149</v>
      </c>
      <c r="B82" s="17">
        <v>44</v>
      </c>
      <c r="C82" s="17">
        <f>$C$74+4</f>
        <v>36</v>
      </c>
      <c r="D82" s="17"/>
      <c r="E82" s="17">
        <f>$C$74+4</f>
        <v>36</v>
      </c>
      <c r="F82" s="17">
        <f>$C$74</f>
        <v>32</v>
      </c>
      <c r="G82" s="17">
        <f>$C$74</f>
        <v>32</v>
      </c>
      <c r="H82" s="17">
        <f>$C$74</f>
        <v>32</v>
      </c>
      <c r="I82" s="17"/>
      <c r="J82" s="17">
        <f>$C$74-2</f>
        <v>30</v>
      </c>
      <c r="K82" s="1"/>
      <c r="L82" s="3"/>
      <c r="M82" s="1"/>
      <c r="Q82" s="4"/>
    </row>
    <row r="83" spans="1:17" ht="27">
      <c r="A83" s="1" t="s">
        <v>185</v>
      </c>
      <c r="B83" s="46">
        <f>$D83*B$79*(B$82-$C$75)</f>
        <v>927.9000878191578</v>
      </c>
      <c r="C83" s="47">
        <f aca="true" t="shared" si="6" ref="B83:C87">$D83*C$79*(C$82-$C$75)</f>
        <v>109.52529331133982</v>
      </c>
      <c r="D83" s="47">
        <f>$E$29</f>
        <v>1.001603048114676</v>
      </c>
      <c r="E83" s="47">
        <f>$I83*E$79*(E$82-$C$75)</f>
        <v>183.24514285714287</v>
      </c>
      <c r="F83" s="47">
        <f>$I83*F$79*(F$82-$C$75)</f>
        <v>117.7142857142857</v>
      </c>
      <c r="G83" s="47">
        <f>$I83*G$79*(G$82-$C$75)</f>
        <v>122.59999999999998</v>
      </c>
      <c r="H83" s="47">
        <f>$I83*H$79*(H$82-$C$75)</f>
        <v>113.11714285714287</v>
      </c>
      <c r="I83" s="47">
        <f>E33</f>
        <v>0.5714285714285714</v>
      </c>
      <c r="J83" s="48">
        <f>K83*($L$77+$M$77)*(J$82-$C$75)</f>
        <v>75.32651162790698</v>
      </c>
      <c r="K83" s="3">
        <f>E27</f>
        <v>0.6511627906976744</v>
      </c>
      <c r="L83" s="3"/>
      <c r="M83" s="1"/>
      <c r="Q83" s="4"/>
    </row>
    <row r="84" spans="1:17" ht="27">
      <c r="A84" s="1" t="s">
        <v>217</v>
      </c>
      <c r="B84" s="49">
        <f t="shared" si="6"/>
        <v>543.9534704830054</v>
      </c>
      <c r="C84" s="50">
        <f t="shared" si="6"/>
        <v>64.20590339892667</v>
      </c>
      <c r="D84" s="50">
        <f>$E$30</f>
        <v>0.5871596104154244</v>
      </c>
      <c r="E84" s="50"/>
      <c r="F84" s="50"/>
      <c r="G84" s="50"/>
      <c r="H84" s="50"/>
      <c r="I84" s="50"/>
      <c r="J84" s="51"/>
      <c r="K84" s="1"/>
      <c r="L84" s="3"/>
      <c r="M84" s="1"/>
      <c r="Q84" s="4"/>
    </row>
    <row r="85" spans="1:17" ht="27">
      <c r="A85" s="1" t="s">
        <v>216</v>
      </c>
      <c r="B85" s="52">
        <f t="shared" si="6"/>
        <v>344.68880099183775</v>
      </c>
      <c r="C85" s="53">
        <f t="shared" si="6"/>
        <v>40.68556790256792</v>
      </c>
      <c r="D85" s="53">
        <f>$E$31</f>
        <v>0.3720673790815539</v>
      </c>
      <c r="E85" s="47">
        <f>$I85*E$79*(E$82-$C$75)</f>
        <v>128.2716</v>
      </c>
      <c r="F85" s="47">
        <f>$I85*F$79*(F$82-$C$75)</f>
        <v>82.39999999999998</v>
      </c>
      <c r="G85" s="47">
        <f>$I85*G$79*(G$82-$C$75)</f>
        <v>85.82</v>
      </c>
      <c r="H85" s="47">
        <f>$I85*H$79*(H$82-$C$75)</f>
        <v>79.182</v>
      </c>
      <c r="I85" s="53">
        <f>$E$32</f>
        <v>0.39999999999999997</v>
      </c>
      <c r="J85" s="48">
        <f>K85*($L$77+$M$77)*(J$82-$C$75)</f>
        <v>75.32651162790698</v>
      </c>
      <c r="K85" s="3">
        <f>E27</f>
        <v>0.6511627906976744</v>
      </c>
      <c r="L85" s="3"/>
      <c r="M85" s="1"/>
      <c r="Q85" s="4"/>
    </row>
    <row r="86" spans="1:17" ht="13.5">
      <c r="A86" s="1" t="s">
        <v>62</v>
      </c>
      <c r="B86" s="46">
        <f>$D86*B$79*(B$82-$C$75)</f>
        <v>927.9000878191578</v>
      </c>
      <c r="C86" s="53">
        <f t="shared" si="6"/>
        <v>109.52529331133982</v>
      </c>
      <c r="D86" s="47">
        <f>$E$29</f>
        <v>1.001603048114676</v>
      </c>
      <c r="E86" s="47">
        <f aca="true" t="shared" si="7" ref="E86:H87">$I86*E$79*(E$82-$C$75)</f>
        <v>208.44135</v>
      </c>
      <c r="F86" s="47">
        <f t="shared" si="7"/>
        <v>133.89999999999998</v>
      </c>
      <c r="G86" s="47">
        <f t="shared" si="7"/>
        <v>139.45749999999998</v>
      </c>
      <c r="H86" s="47">
        <f t="shared" si="7"/>
        <v>128.67075000000003</v>
      </c>
      <c r="I86" s="50">
        <v>0.65</v>
      </c>
      <c r="J86" s="48">
        <f>K86*($L$77+$M$77)*(J$82-$C$75)</f>
        <v>75.19200000000001</v>
      </c>
      <c r="K86" s="3">
        <v>0.65</v>
      </c>
      <c r="L86" s="3"/>
      <c r="M86" s="1"/>
      <c r="Q86" s="4"/>
    </row>
    <row r="87" spans="1:17" ht="13.5">
      <c r="A87" s="1" t="s">
        <v>327</v>
      </c>
      <c r="B87" s="52">
        <f t="shared" si="6"/>
        <v>2144.847050739958</v>
      </c>
      <c r="C87" s="53">
        <f t="shared" si="6"/>
        <v>253.1684234370281</v>
      </c>
      <c r="D87" s="50">
        <f>E28</f>
        <v>2.3152119198630827</v>
      </c>
      <c r="E87" s="47">
        <f t="shared" si="7"/>
        <v>742.4398432497735</v>
      </c>
      <c r="F87" s="47">
        <f t="shared" si="7"/>
        <v>476.933655491795</v>
      </c>
      <c r="G87" s="47">
        <f t="shared" si="7"/>
        <v>496.72871740662436</v>
      </c>
      <c r="H87" s="47">
        <f t="shared" si="7"/>
        <v>458.3077755964965</v>
      </c>
      <c r="I87" s="50">
        <f>E28</f>
        <v>2.3152119198630827</v>
      </c>
      <c r="J87" s="48">
        <f>K87*($L$77+$M$77)*(J$82-$C$75)</f>
        <v>267.8237148897614</v>
      </c>
      <c r="K87" s="3">
        <f>E28</f>
        <v>2.3152119198630827</v>
      </c>
      <c r="L87" s="3"/>
      <c r="M87" s="1"/>
      <c r="Q87" s="4"/>
    </row>
    <row r="88" spans="1:8" ht="13.5">
      <c r="A88" s="1" t="s">
        <v>184</v>
      </c>
      <c r="B88" s="17">
        <f>B78*($D$74-$C$75)*$G$35</f>
        <v>11.25413793103448</v>
      </c>
      <c r="C88" s="17">
        <f>C78*($D$74-$C$75)*$G$35</f>
        <v>0</v>
      </c>
      <c r="D88" s="17"/>
      <c r="E88" s="17">
        <f>E78*(E$82-$C$75)*$G$35</f>
        <v>184.15862068965512</v>
      </c>
      <c r="F88" s="17">
        <f>F78*(F$82-$C$75)*$G$35</f>
        <v>52.00775862068965</v>
      </c>
      <c r="G88" s="17">
        <f>G78*(G$82-$C$75)*$G$35</f>
        <v>35.80862068965517</v>
      </c>
      <c r="H88" s="17">
        <f>H78*(H$82-$C$75)*$G$35</f>
        <v>23.01982758620689</v>
      </c>
    </row>
    <row r="89" spans="1:9" ht="41.25" thickBot="1">
      <c r="A89" s="1" t="s">
        <v>330</v>
      </c>
      <c r="B89" s="17" t="s">
        <v>207</v>
      </c>
      <c r="C89" s="17" t="s">
        <v>178</v>
      </c>
      <c r="D89" s="17" t="s">
        <v>208</v>
      </c>
      <c r="E89" s="17" t="s">
        <v>209</v>
      </c>
      <c r="F89" s="17" t="s">
        <v>62</v>
      </c>
      <c r="G89" s="1" t="s">
        <v>327</v>
      </c>
      <c r="H89" s="17" t="s">
        <v>247</v>
      </c>
      <c r="I89" s="17"/>
    </row>
    <row r="90" spans="1:9" ht="14.25" thickTop="1">
      <c r="A90" s="28" t="s">
        <v>210</v>
      </c>
      <c r="B90" s="29">
        <f>SUM(B81:C81)</f>
        <v>130.94741509831815</v>
      </c>
      <c r="C90" s="29">
        <f>SUM(B83:C83)</f>
        <v>1037.4253811304975</v>
      </c>
      <c r="D90" s="29">
        <f>SUM(B84:C84)</f>
        <v>608.1593738819321</v>
      </c>
      <c r="E90" s="29">
        <f>SUM(B85:C85)</f>
        <v>385.3743688944057</v>
      </c>
      <c r="F90" s="29">
        <f>B86+C86</f>
        <v>1037.4253811304975</v>
      </c>
      <c r="G90" s="30">
        <f>B87+C87</f>
        <v>2398.015474176986</v>
      </c>
      <c r="H90" s="17"/>
      <c r="I90" s="17"/>
    </row>
    <row r="91" spans="1:9" ht="13.5">
      <c r="A91" s="31" t="s">
        <v>211</v>
      </c>
      <c r="B91" s="20">
        <f>SUM(E81:H81)</f>
        <v>372.28069829115714</v>
      </c>
      <c r="C91" s="20">
        <f>SUM(E83:H83)</f>
        <v>536.6765714285714</v>
      </c>
      <c r="D91" s="20">
        <f>C91</f>
        <v>536.6765714285714</v>
      </c>
      <c r="E91" s="20">
        <f>SUM(E85:H85)</f>
        <v>375.67359999999996</v>
      </c>
      <c r="F91" s="20">
        <f>SUM(E86:H86)</f>
        <v>610.4696</v>
      </c>
      <c r="G91" s="32">
        <f>SUM(E87:H87)</f>
        <v>2174.4099917446893</v>
      </c>
      <c r="H91" s="17"/>
      <c r="I91" s="17"/>
    </row>
    <row r="92" spans="1:9" ht="13.5">
      <c r="A92" s="31" t="s">
        <v>212</v>
      </c>
      <c r="B92" s="20">
        <f aca="true" t="shared" si="8" ref="B92:G92">SUM($B88:$H88)</f>
        <v>306.2489655172413</v>
      </c>
      <c r="C92" s="20">
        <f t="shared" si="8"/>
        <v>306.2489655172413</v>
      </c>
      <c r="D92" s="20">
        <f t="shared" si="8"/>
        <v>306.2489655172413</v>
      </c>
      <c r="E92" s="20">
        <f t="shared" si="8"/>
        <v>306.2489655172413</v>
      </c>
      <c r="F92" s="20">
        <f t="shared" si="8"/>
        <v>306.2489655172413</v>
      </c>
      <c r="G92" s="20">
        <f t="shared" si="8"/>
        <v>306.2489655172413</v>
      </c>
      <c r="H92" s="17"/>
      <c r="I92" s="17"/>
    </row>
    <row r="93" spans="1:9" ht="13.5">
      <c r="A93" s="31" t="s">
        <v>213</v>
      </c>
      <c r="B93" s="20">
        <f>J81</f>
        <v>56.747883316611514</v>
      </c>
      <c r="C93" s="20">
        <f>J83</f>
        <v>75.32651162790698</v>
      </c>
      <c r="D93" s="20">
        <f>J83</f>
        <v>75.32651162790698</v>
      </c>
      <c r="E93" s="20">
        <f>J85</f>
        <v>75.32651162790698</v>
      </c>
      <c r="F93" s="20">
        <f>J86</f>
        <v>75.19200000000001</v>
      </c>
      <c r="G93" s="32">
        <f>J87</f>
        <v>267.8237148897614</v>
      </c>
      <c r="H93" s="17"/>
      <c r="I93" s="17"/>
    </row>
    <row r="94" spans="1:9" ht="13.5">
      <c r="A94" s="31" t="s">
        <v>190</v>
      </c>
      <c r="B94" s="20">
        <f>$G67*4</f>
        <v>232.55555555555554</v>
      </c>
      <c r="C94" s="20">
        <f aca="true" t="shared" si="9" ref="C94:G97">$B94</f>
        <v>232.55555555555554</v>
      </c>
      <c r="D94" s="20">
        <f t="shared" si="9"/>
        <v>232.55555555555554</v>
      </c>
      <c r="E94" s="20">
        <f t="shared" si="9"/>
        <v>232.55555555555554</v>
      </c>
      <c r="F94" s="20">
        <f t="shared" si="9"/>
        <v>232.55555555555554</v>
      </c>
      <c r="G94" s="32">
        <f t="shared" si="9"/>
        <v>232.55555555555554</v>
      </c>
      <c r="H94" s="17"/>
      <c r="I94" s="17"/>
    </row>
    <row r="95" spans="1:9" ht="13.5">
      <c r="A95" s="31" t="s">
        <v>215</v>
      </c>
      <c r="B95" s="20">
        <v>400</v>
      </c>
      <c r="C95" s="20">
        <f t="shared" si="9"/>
        <v>400</v>
      </c>
      <c r="D95" s="20">
        <f t="shared" si="9"/>
        <v>400</v>
      </c>
      <c r="E95" s="20">
        <f t="shared" si="9"/>
        <v>400</v>
      </c>
      <c r="F95" s="20">
        <f t="shared" si="9"/>
        <v>400</v>
      </c>
      <c r="G95" s="32">
        <f t="shared" si="9"/>
        <v>400</v>
      </c>
      <c r="I95" s="17"/>
    </row>
    <row r="96" spans="1:9" ht="13.5">
      <c r="A96" s="31" t="s">
        <v>192</v>
      </c>
      <c r="B96" s="20">
        <f>B59*B60*(C74-C75)*D112</f>
        <v>0.2794444444444445</v>
      </c>
      <c r="C96" s="20">
        <f t="shared" si="9"/>
        <v>0.2794444444444445</v>
      </c>
      <c r="D96" s="20">
        <f t="shared" si="9"/>
        <v>0.2794444444444445</v>
      </c>
      <c r="E96" s="20">
        <f t="shared" si="9"/>
        <v>0.2794444444444445</v>
      </c>
      <c r="F96" s="20">
        <f t="shared" si="9"/>
        <v>0.2794444444444445</v>
      </c>
      <c r="G96" s="32">
        <f t="shared" si="9"/>
        <v>0.2794444444444445</v>
      </c>
      <c r="H96" s="39">
        <v>0.7</v>
      </c>
      <c r="I96" s="17"/>
    </row>
    <row r="97" spans="1:9" ht="14.25" thickBot="1">
      <c r="A97" s="33" t="s">
        <v>196</v>
      </c>
      <c r="B97" s="34">
        <f>F112</f>
        <v>1123.0578222222225</v>
      </c>
      <c r="C97" s="34">
        <f t="shared" si="9"/>
        <v>1123.0578222222225</v>
      </c>
      <c r="D97" s="34">
        <f t="shared" si="9"/>
        <v>1123.0578222222225</v>
      </c>
      <c r="E97" s="34">
        <f t="shared" si="9"/>
        <v>1123.0578222222225</v>
      </c>
      <c r="F97" s="34">
        <f t="shared" si="9"/>
        <v>1123.0578222222225</v>
      </c>
      <c r="G97" s="35">
        <f t="shared" si="9"/>
        <v>1123.0578222222225</v>
      </c>
      <c r="H97" s="39">
        <v>0.75</v>
      </c>
      <c r="I97" s="36" t="s">
        <v>237</v>
      </c>
    </row>
    <row r="98" spans="1:8" ht="14.25" thickTop="1">
      <c r="A98" s="54" t="s">
        <v>214</v>
      </c>
      <c r="B98" s="56">
        <f aca="true" t="shared" si="10" ref="B98:G98">SUM(B90:B97)</f>
        <v>2622.1177844455506</v>
      </c>
      <c r="C98" s="56">
        <f t="shared" si="10"/>
        <v>3711.5702519264396</v>
      </c>
      <c r="D98" s="56">
        <f t="shared" si="10"/>
        <v>3282.304244677874</v>
      </c>
      <c r="E98" s="56">
        <f t="shared" si="10"/>
        <v>2898.516268261776</v>
      </c>
      <c r="F98" s="56">
        <f t="shared" si="10"/>
        <v>3785.228768869961</v>
      </c>
      <c r="G98" s="56">
        <f t="shared" si="10"/>
        <v>6902.390968550901</v>
      </c>
      <c r="H98" s="17">
        <v>20</v>
      </c>
    </row>
    <row r="99" spans="1:9" ht="27">
      <c r="A99" s="54" t="s">
        <v>248</v>
      </c>
      <c r="B99" s="56">
        <f aca="true" t="shared" si="11" ref="B99:G99">SUM(B90:B95)+B96*(1-$H96)+B97*(1-$H97)+$H98</f>
        <v>1799.6288066677726</v>
      </c>
      <c r="C99" s="56">
        <f t="shared" si="11"/>
        <v>2889.0812741486616</v>
      </c>
      <c r="D99" s="56">
        <f t="shared" si="11"/>
        <v>2459.815266900096</v>
      </c>
      <c r="E99" s="56">
        <f t="shared" si="11"/>
        <v>2076.027290483998</v>
      </c>
      <c r="F99" s="56">
        <f t="shared" si="11"/>
        <v>2962.739791092183</v>
      </c>
      <c r="G99" s="56">
        <f t="shared" si="11"/>
        <v>6079.901990773122</v>
      </c>
      <c r="H99" s="17"/>
      <c r="I99" s="38" t="s">
        <v>246</v>
      </c>
    </row>
    <row r="100" spans="2:9" ht="13.5">
      <c r="B100" s="17"/>
      <c r="C100" s="17"/>
      <c r="D100" s="17"/>
      <c r="E100" s="17"/>
      <c r="F100" s="17"/>
      <c r="G100" s="17"/>
      <c r="H100" s="18"/>
      <c r="I100" s="18"/>
    </row>
    <row r="101" spans="1:9" ht="13.5">
      <c r="A101" s="1" t="s">
        <v>249</v>
      </c>
      <c r="B101" s="17">
        <f>B98/F$123</f>
        <v>518.4641982880975</v>
      </c>
      <c r="C101" s="17">
        <f>C98/I$123</f>
        <v>845.4132240499112</v>
      </c>
      <c r="D101" s="17">
        <f>D98/H$123</f>
        <v>697.4896519940482</v>
      </c>
      <c r="E101" s="17">
        <f>E98/G$123</f>
        <v>585.5002861888788</v>
      </c>
      <c r="F101" s="17">
        <f>F98/I$123</f>
        <v>862.1909973537133</v>
      </c>
      <c r="G101" s="1">
        <f>G98/I123</f>
        <v>1572.2112761699273</v>
      </c>
      <c r="H101" s="17" t="s">
        <v>314</v>
      </c>
      <c r="I101" s="42">
        <v>12</v>
      </c>
    </row>
    <row r="102" spans="1:11" ht="27">
      <c r="A102" s="1" t="s">
        <v>315</v>
      </c>
      <c r="B102" s="17">
        <f aca="true" t="shared" si="12" ref="B102:G102">B101*$I$101*30/1000</f>
        <v>186.64711138371507</v>
      </c>
      <c r="C102" s="17">
        <f t="shared" si="12"/>
        <v>304.348760657968</v>
      </c>
      <c r="D102" s="17">
        <f t="shared" si="12"/>
        <v>251.09627471785734</v>
      </c>
      <c r="E102" s="17">
        <f t="shared" si="12"/>
        <v>210.78010302799638</v>
      </c>
      <c r="F102" s="17">
        <f t="shared" si="12"/>
        <v>310.3887590473368</v>
      </c>
      <c r="G102" s="17">
        <f t="shared" si="12"/>
        <v>565.9960594211738</v>
      </c>
      <c r="H102" s="17" t="s">
        <v>309</v>
      </c>
      <c r="I102" s="1" t="s">
        <v>310</v>
      </c>
      <c r="J102" s="1" t="s">
        <v>311</v>
      </c>
      <c r="K102" s="1" t="s">
        <v>312</v>
      </c>
    </row>
    <row r="103" spans="1:11" ht="13.5">
      <c r="A103" s="54" t="s">
        <v>308</v>
      </c>
      <c r="B103" s="55">
        <f aca="true" t="shared" si="13" ref="B103:G103">IF(B102&gt;120,(B102-120)*$J$103+120*$I$103,B102*$I$103)</f>
        <v>3247.1957923013906</v>
      </c>
      <c r="C103" s="55">
        <f t="shared" si="13"/>
        <v>5680.088882800199</v>
      </c>
      <c r="D103" s="55">
        <f t="shared" si="13"/>
        <v>4579.359998418111</v>
      </c>
      <c r="E103" s="55">
        <f t="shared" si="13"/>
        <v>3746.024729588685</v>
      </c>
      <c r="F103" s="55">
        <f t="shared" si="13"/>
        <v>5804.935649508452</v>
      </c>
      <c r="G103" s="55">
        <f t="shared" si="13"/>
        <v>11088.338548235663</v>
      </c>
      <c r="H103" s="58" t="s">
        <v>313</v>
      </c>
      <c r="I103" s="41">
        <v>15.58</v>
      </c>
      <c r="J103" s="41">
        <v>20.67</v>
      </c>
      <c r="K103" s="41">
        <v>22.43</v>
      </c>
    </row>
    <row r="104" spans="1:7" ht="27">
      <c r="A104" s="1" t="s">
        <v>250</v>
      </c>
      <c r="B104" s="17">
        <f>B99/F$123+H98</f>
        <v>375.83569586385505</v>
      </c>
      <c r="C104" s="17">
        <f>C99/I$123+H98</f>
        <v>678.0685124449728</v>
      </c>
      <c r="D104" s="17">
        <f>D99/H$123+H98</f>
        <v>542.7107442162704</v>
      </c>
      <c r="E104" s="17">
        <f>E99/G$123+H98</f>
        <v>439.3575126777676</v>
      </c>
      <c r="F104" s="17">
        <f>F99/H$123+I98</f>
        <v>629.5822056070889</v>
      </c>
      <c r="G104" s="17">
        <f>G99/I$123+J98</f>
        <v>1384.8665645649887</v>
      </c>
    </row>
    <row r="105" spans="1:9" ht="13.5">
      <c r="A105" s="1" t="s">
        <v>315</v>
      </c>
      <c r="B105" s="17">
        <f aca="true" t="shared" si="14" ref="B105:G105">B104*$I$101*30/1000</f>
        <v>135.3008505109878</v>
      </c>
      <c r="C105" s="17">
        <f t="shared" si="14"/>
        <v>244.10466448019022</v>
      </c>
      <c r="D105" s="17">
        <f t="shared" si="14"/>
        <v>195.37586791785733</v>
      </c>
      <c r="E105" s="17">
        <f t="shared" si="14"/>
        <v>158.16870456399636</v>
      </c>
      <c r="F105" s="17">
        <f t="shared" si="14"/>
        <v>226.64959401855202</v>
      </c>
      <c r="G105" s="17">
        <f t="shared" si="14"/>
        <v>498.5519632433959</v>
      </c>
      <c r="H105" s="18"/>
      <c r="I105" s="18"/>
    </row>
    <row r="106" spans="1:9" ht="13.5">
      <c r="A106" s="1" t="s">
        <v>308</v>
      </c>
      <c r="B106" s="40">
        <f aca="true" t="shared" si="15" ref="B106:G106">IF(B105&gt;120,(B105-120)*$J$103+120*$I$103,B105*$I$103)</f>
        <v>2185.868580062118</v>
      </c>
      <c r="C106" s="40">
        <f t="shared" si="15"/>
        <v>4434.843414805532</v>
      </c>
      <c r="D106" s="40">
        <f t="shared" si="15"/>
        <v>3427.619189862111</v>
      </c>
      <c r="E106" s="40">
        <f t="shared" si="15"/>
        <v>2658.547123337805</v>
      </c>
      <c r="F106" s="40">
        <f t="shared" si="15"/>
        <v>4074.04710836347</v>
      </c>
      <c r="G106" s="40">
        <f t="shared" si="15"/>
        <v>9694.269080240994</v>
      </c>
      <c r="H106" s="18" t="s">
        <v>221</v>
      </c>
      <c r="I106" s="18" t="s">
        <v>197</v>
      </c>
    </row>
    <row r="107" spans="2:9" ht="13.5">
      <c r="B107" s="17"/>
      <c r="C107" s="17"/>
      <c r="D107" s="17"/>
      <c r="E107" s="17"/>
      <c r="F107" s="17"/>
      <c r="G107" s="18"/>
      <c r="H107" s="1" t="str">
        <f>F62</f>
        <v>32℃</v>
      </c>
      <c r="I107" s="1" t="str">
        <f>D62</f>
        <v>27℃</v>
      </c>
    </row>
    <row r="108" spans="2:9" ht="27">
      <c r="B108" s="17"/>
      <c r="C108" s="17" t="s">
        <v>161</v>
      </c>
      <c r="D108" s="17" t="s">
        <v>162</v>
      </c>
      <c r="E108" s="17" t="s">
        <v>176</v>
      </c>
      <c r="F108" s="17"/>
      <c r="G108" s="1" t="s">
        <v>224</v>
      </c>
      <c r="H108" s="27">
        <f>F64</f>
        <v>33.82</v>
      </c>
      <c r="I108" s="27">
        <f>E64</f>
        <v>30.38</v>
      </c>
    </row>
    <row r="109" spans="1:9" ht="13.5">
      <c r="A109" s="1" t="s">
        <v>147</v>
      </c>
      <c r="B109" s="17">
        <f>C109+D109</f>
        <v>311.53499999999997</v>
      </c>
      <c r="C109" s="17">
        <f>F75*G75*I75</f>
        <v>294.147</v>
      </c>
      <c r="D109" s="17">
        <f>4.6*5.4*1.4/2</f>
        <v>17.387999999999998</v>
      </c>
      <c r="E109" s="17">
        <f>F75*G75*0.5</f>
        <v>22.05</v>
      </c>
      <c r="F109" s="17"/>
      <c r="G109" s="17" t="s">
        <v>222</v>
      </c>
      <c r="H109" s="5">
        <f>E74</f>
        <v>0.85</v>
      </c>
      <c r="I109" s="5">
        <f>E75</f>
        <v>0.6</v>
      </c>
    </row>
    <row r="110" spans="1:9" ht="40.5">
      <c r="A110" s="1" t="s">
        <v>180</v>
      </c>
      <c r="B110" s="18">
        <f>53.55+55.23+10.42</f>
        <v>119.2</v>
      </c>
      <c r="C110" s="18"/>
      <c r="D110" s="18"/>
      <c r="E110" s="18"/>
      <c r="F110" s="18"/>
      <c r="G110" s="18" t="s">
        <v>223</v>
      </c>
      <c r="H110" s="1">
        <f>H108*H109*F66</f>
        <v>69653.981</v>
      </c>
      <c r="I110" s="1">
        <f>I108*I109*D66</f>
        <v>44385.17999999999</v>
      </c>
    </row>
    <row r="111" spans="2:6" ht="28.5" customHeight="1">
      <c r="B111" s="18"/>
      <c r="C111" s="1" t="s">
        <v>189</v>
      </c>
      <c r="D111" s="18" t="s">
        <v>191</v>
      </c>
      <c r="E111" s="18" t="s">
        <v>194</v>
      </c>
      <c r="F111" s="1" t="s">
        <v>225</v>
      </c>
    </row>
    <row r="112" spans="1:6" ht="40.5">
      <c r="A112" s="1" t="s">
        <v>171</v>
      </c>
      <c r="C112" s="1">
        <v>160</v>
      </c>
      <c r="D112" s="1">
        <f>C112/3600</f>
        <v>0.044444444444444446</v>
      </c>
      <c r="E112" s="3">
        <f>(H108*H109-I108*I109)*D112</f>
        <v>0.4675111111111112</v>
      </c>
      <c r="F112" s="1">
        <f>(H110-I110)*D112</f>
        <v>1123.0578222222225</v>
      </c>
    </row>
    <row r="113" spans="2:8" ht="27">
      <c r="B113" s="1" t="s">
        <v>188</v>
      </c>
      <c r="C113" s="1" t="s">
        <v>245</v>
      </c>
      <c r="D113" s="1" t="s">
        <v>183</v>
      </c>
      <c r="E113" s="1" t="s">
        <v>147</v>
      </c>
      <c r="F113" s="1" t="s">
        <v>182</v>
      </c>
      <c r="G113" s="1" t="s">
        <v>179</v>
      </c>
      <c r="H113" s="54" t="s">
        <v>331</v>
      </c>
    </row>
    <row r="114" spans="1:8" ht="13.5">
      <c r="A114" s="1" t="s">
        <v>62</v>
      </c>
      <c r="B114" s="1">
        <f>E114/2</f>
        <v>166.7925</v>
      </c>
      <c r="C114" s="1">
        <f>4^2*3.14/2*6</f>
        <v>150.72</v>
      </c>
      <c r="D114" s="1">
        <f>F114*G114</f>
        <v>76.98115384615383</v>
      </c>
      <c r="E114" s="3">
        <f>B109+E109</f>
        <v>333.585</v>
      </c>
      <c r="F114" s="1">
        <f>E114/2.6</f>
        <v>128.30192307692306</v>
      </c>
      <c r="G114" s="1">
        <f>C53</f>
        <v>0.6</v>
      </c>
      <c r="H114" s="57">
        <f>D114/C114</f>
        <v>0.5107560632043116</v>
      </c>
    </row>
    <row r="115" spans="1:8" ht="13.5">
      <c r="A115" s="1" t="s">
        <v>177</v>
      </c>
      <c r="B115" s="1">
        <f>E115/2</f>
        <v>155.76749999999998</v>
      </c>
      <c r="C115" s="1">
        <f>4^2*3.14/2*6</f>
        <v>150.72</v>
      </c>
      <c r="D115" s="1">
        <f>F115*G115</f>
        <v>35.94634615384615</v>
      </c>
      <c r="E115" s="3">
        <f>B109</f>
        <v>311.53499999999997</v>
      </c>
      <c r="F115" s="1">
        <f>E115/2.6</f>
        <v>119.82115384615383</v>
      </c>
      <c r="G115" s="1">
        <f>C54</f>
        <v>0.3</v>
      </c>
      <c r="H115" s="57">
        <f>D115/C115</f>
        <v>0.23849751959823615</v>
      </c>
    </row>
    <row r="116" spans="1:8" ht="13.5">
      <c r="A116" s="1" t="s">
        <v>178</v>
      </c>
      <c r="B116" s="1">
        <f>E116/2</f>
        <v>166.7925</v>
      </c>
      <c r="C116" s="1">
        <f>4^2*3.14/2*6</f>
        <v>150.72</v>
      </c>
      <c r="D116" s="1">
        <f>F116*G116</f>
        <v>23.09434615384615</v>
      </c>
      <c r="E116" s="3">
        <f>B109+E109</f>
        <v>333.585</v>
      </c>
      <c r="F116" s="1">
        <f>E116/2.6</f>
        <v>128.30192307692306</v>
      </c>
      <c r="G116" s="1">
        <f>C55</f>
        <v>0.18</v>
      </c>
      <c r="H116" s="57">
        <f>D116/C116</f>
        <v>0.15322681896129345</v>
      </c>
    </row>
    <row r="118" spans="1:9" ht="27">
      <c r="A118" s="1" t="s">
        <v>113</v>
      </c>
      <c r="D118" s="1" t="s">
        <v>235</v>
      </c>
      <c r="E118" s="1" t="s">
        <v>226</v>
      </c>
      <c r="F118" s="1" t="s">
        <v>227</v>
      </c>
      <c r="G118" s="1" t="s">
        <v>228</v>
      </c>
      <c r="H118" s="1" t="s">
        <v>229</v>
      </c>
      <c r="I118" s="1" t="s">
        <v>230</v>
      </c>
    </row>
    <row r="119" spans="1:9" ht="27">
      <c r="A119" s="12" t="s">
        <v>100</v>
      </c>
      <c r="E119" s="1" t="s">
        <v>233</v>
      </c>
      <c r="F119" s="1">
        <v>510</v>
      </c>
      <c r="G119" s="1">
        <v>535</v>
      </c>
      <c r="H119" s="1">
        <v>705</v>
      </c>
      <c r="I119" s="1">
        <v>850</v>
      </c>
    </row>
    <row r="120" spans="1:9" ht="27">
      <c r="A120" s="12" t="s">
        <v>101</v>
      </c>
      <c r="E120" s="1" t="s">
        <v>231</v>
      </c>
      <c r="F120" s="1">
        <v>2800</v>
      </c>
      <c r="G120" s="1">
        <v>3000</v>
      </c>
      <c r="H120" s="1">
        <v>3600</v>
      </c>
      <c r="I120" s="1">
        <v>4500</v>
      </c>
    </row>
    <row r="121" spans="1:9" ht="27">
      <c r="A121" s="12" t="s">
        <v>102</v>
      </c>
      <c r="E121" s="1" t="s">
        <v>234</v>
      </c>
      <c r="F121" s="1">
        <v>435</v>
      </c>
      <c r="G121" s="1">
        <v>505</v>
      </c>
      <c r="H121" s="1">
        <v>595</v>
      </c>
      <c r="I121" s="1">
        <v>820</v>
      </c>
    </row>
    <row r="122" spans="1:9" ht="27">
      <c r="A122" s="12" t="s">
        <v>103</v>
      </c>
      <c r="E122" s="1" t="s">
        <v>232</v>
      </c>
      <c r="F122" s="1">
        <v>2200</v>
      </c>
      <c r="G122" s="1">
        <v>2500</v>
      </c>
      <c r="H122" s="1">
        <v>2800</v>
      </c>
      <c r="I122" s="1">
        <v>3600</v>
      </c>
    </row>
    <row r="123" spans="1:9" ht="27">
      <c r="A123" s="11"/>
      <c r="E123" s="1" t="s">
        <v>236</v>
      </c>
      <c r="F123" s="1">
        <f>F122/F121</f>
        <v>5.057471264367816</v>
      </c>
      <c r="G123" s="1">
        <f>G122/G121</f>
        <v>4.9504950495049505</v>
      </c>
      <c r="H123" s="1">
        <f>H122/H121</f>
        <v>4.705882352941177</v>
      </c>
      <c r="I123" s="1">
        <f>I122/I121</f>
        <v>4.390243902439025</v>
      </c>
    </row>
    <row r="124" ht="13.5">
      <c r="A124" s="12" t="s">
        <v>104</v>
      </c>
    </row>
    <row r="125" ht="13.5">
      <c r="A125" s="12" t="s">
        <v>105</v>
      </c>
    </row>
    <row r="126" ht="13.5">
      <c r="A126" s="12" t="s">
        <v>106</v>
      </c>
    </row>
    <row r="127" ht="13.5">
      <c r="A127" s="12" t="s">
        <v>107</v>
      </c>
    </row>
    <row r="128" ht="13.5">
      <c r="A128" s="11"/>
    </row>
    <row r="129" ht="13.5">
      <c r="A129" s="12" t="s">
        <v>108</v>
      </c>
    </row>
    <row r="130" ht="13.5">
      <c r="A130" s="12" t="s">
        <v>109</v>
      </c>
    </row>
    <row r="131" ht="13.5">
      <c r="A131" s="12" t="s">
        <v>110</v>
      </c>
    </row>
    <row r="132" ht="13.5">
      <c r="A132" s="12" t="s">
        <v>111</v>
      </c>
    </row>
    <row r="133" ht="13.5">
      <c r="A133" s="12" t="s">
        <v>112</v>
      </c>
    </row>
    <row r="134" ht="13.5">
      <c r="A134" s="13"/>
    </row>
  </sheetData>
  <hyperlinks>
    <hyperlink ref="I99" r:id="rId1" display="http://www.ieh.ca/jp/erv/faq.html"/>
  </hyperlinks>
  <printOptions/>
  <pageMargins left="0.75" right="0.75" top="1" bottom="1" header="0.512" footer="0.512"/>
  <pageSetup fitToHeight="1" fitToWidth="1" horizontalDpi="300" verticalDpi="3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32"/>
  <sheetViews>
    <sheetView workbookViewId="0" topLeftCell="A1">
      <pane ySplit="1" topLeftCell="BM65" activePane="bottomLeft" state="frozen"/>
      <selection pane="topLeft" activeCell="A1" sqref="A1"/>
      <selection pane="bottomLeft" activeCell="F94" sqref="F94"/>
    </sheetView>
  </sheetViews>
  <sheetFormatPr defaultColWidth="9.00390625" defaultRowHeight="13.5"/>
  <cols>
    <col min="1" max="1" width="19.875" style="1" customWidth="1"/>
    <col min="2" max="2" width="21.25390625" style="1" customWidth="1"/>
    <col min="3" max="3" width="13.50390625" style="1" customWidth="1"/>
    <col min="4" max="4" width="10.375" style="1" customWidth="1"/>
    <col min="5" max="5" width="9.25390625" style="1" customWidth="1"/>
    <col min="6" max="7" width="10.125" style="1" customWidth="1"/>
    <col min="8" max="8" width="9.00390625" style="1" customWidth="1"/>
    <col min="9" max="9" width="9.375" style="1" customWidth="1"/>
    <col min="10" max="10" width="10.125" style="1" customWidth="1"/>
    <col min="11" max="11" width="6.125" style="3" customWidth="1"/>
    <col min="12" max="12" width="8.375" style="1" customWidth="1"/>
    <col min="13" max="13" width="7.625" style="4" customWidth="1"/>
    <col min="14" max="14" width="9.00390625" style="4" customWidth="1"/>
    <col min="15" max="16" width="6.375" style="4" customWidth="1"/>
    <col min="17" max="18" width="11.00390625" style="1" customWidth="1"/>
    <col min="19" max="19" width="19.375" style="1" customWidth="1"/>
    <col min="20" max="16384" width="9.00390625" style="1" customWidth="1"/>
  </cols>
  <sheetData>
    <row r="1" ht="13.5">
      <c r="C1" s="2" t="s">
        <v>13</v>
      </c>
    </row>
    <row r="2" spans="3:9" ht="27">
      <c r="C2" s="1" t="s">
        <v>12</v>
      </c>
      <c r="D2" s="1" t="s">
        <v>8</v>
      </c>
      <c r="E2" s="1" t="s">
        <v>9</v>
      </c>
      <c r="F2" s="1" t="s">
        <v>10</v>
      </c>
      <c r="G2" s="1" t="s">
        <v>127</v>
      </c>
      <c r="H2" s="1" t="s">
        <v>128</v>
      </c>
      <c r="I2" s="1" t="s">
        <v>130</v>
      </c>
    </row>
    <row r="3" spans="1:5" ht="13.5">
      <c r="A3" s="1" t="s">
        <v>0</v>
      </c>
      <c r="B3" s="1" t="s">
        <v>1</v>
      </c>
      <c r="C3" s="1">
        <v>0.12</v>
      </c>
      <c r="D3" s="1" t="s">
        <v>251</v>
      </c>
      <c r="E3" s="1" t="s">
        <v>252</v>
      </c>
    </row>
    <row r="4" spans="2:4" ht="13.5">
      <c r="B4" s="1" t="s">
        <v>45</v>
      </c>
      <c r="D4" s="1">
        <v>0.13</v>
      </c>
    </row>
    <row r="5" spans="2:5" ht="13.5">
      <c r="B5" s="1" t="s">
        <v>253</v>
      </c>
      <c r="C5" s="1">
        <v>0.17</v>
      </c>
      <c r="D5" s="1">
        <v>0.15</v>
      </c>
      <c r="E5" s="1">
        <v>378</v>
      </c>
    </row>
    <row r="6" spans="2:5" ht="13.5">
      <c r="B6" s="1" t="s">
        <v>254</v>
      </c>
      <c r="D6" s="1" t="s">
        <v>255</v>
      </c>
      <c r="E6" s="1">
        <v>0</v>
      </c>
    </row>
    <row r="7" spans="2:5" ht="13.5">
      <c r="B7" s="1" t="s">
        <v>256</v>
      </c>
      <c r="C7" s="1">
        <v>1.6</v>
      </c>
      <c r="D7" s="1">
        <v>1.4</v>
      </c>
      <c r="E7" s="1" t="s">
        <v>257</v>
      </c>
    </row>
    <row r="8" spans="2:6" ht="13.5">
      <c r="B8" s="1" t="s">
        <v>2</v>
      </c>
      <c r="C8" s="1">
        <v>0.023</v>
      </c>
      <c r="D8" s="1">
        <v>0.023</v>
      </c>
      <c r="E8" s="1" t="s">
        <v>258</v>
      </c>
      <c r="F8" s="1" t="s">
        <v>3</v>
      </c>
    </row>
    <row r="9" spans="2:6" ht="27">
      <c r="B9" s="1" t="s">
        <v>259</v>
      </c>
      <c r="C9" s="1" t="s">
        <v>260</v>
      </c>
      <c r="D9" s="1">
        <v>0.028</v>
      </c>
      <c r="E9" s="1" t="s">
        <v>261</v>
      </c>
      <c r="F9" s="1" t="s">
        <v>4</v>
      </c>
    </row>
    <row r="10" spans="2:5" ht="13.5">
      <c r="B10" s="1" t="s">
        <v>262</v>
      </c>
      <c r="C10" s="1">
        <v>0.038</v>
      </c>
      <c r="D10" s="1">
        <v>0.031</v>
      </c>
      <c r="E10" s="1">
        <v>2100</v>
      </c>
    </row>
    <row r="11" spans="2:5" ht="13.5">
      <c r="B11" s="1" t="s">
        <v>263</v>
      </c>
      <c r="C11" s="1">
        <v>0.04</v>
      </c>
      <c r="D11" s="1">
        <v>0.035</v>
      </c>
      <c r="E11" s="1">
        <v>1500</v>
      </c>
    </row>
    <row r="12" spans="2:5" ht="18" customHeight="1">
      <c r="B12" s="1" t="s">
        <v>264</v>
      </c>
      <c r="C12" s="1" t="s">
        <v>265</v>
      </c>
      <c r="D12" s="1">
        <v>0.039</v>
      </c>
      <c r="E12" s="1">
        <v>2500</v>
      </c>
    </row>
    <row r="13" spans="2:9" ht="26.25" customHeight="1">
      <c r="B13" s="1" t="s">
        <v>266</v>
      </c>
      <c r="C13" s="1">
        <v>0.02</v>
      </c>
      <c r="D13" s="1">
        <v>0.017</v>
      </c>
      <c r="E13" s="1" t="s">
        <v>129</v>
      </c>
      <c r="F13" s="1">
        <v>1.5</v>
      </c>
      <c r="G13" s="1">
        <v>1.7</v>
      </c>
      <c r="H13" s="1">
        <v>27</v>
      </c>
      <c r="I13" s="1">
        <v>200</v>
      </c>
    </row>
    <row r="14" ht="18" customHeight="1">
      <c r="C14" s="2" t="s">
        <v>11</v>
      </c>
    </row>
    <row r="15" spans="4:12" ht="21.75" customHeight="1">
      <c r="D15" s="2" t="s">
        <v>25</v>
      </c>
      <c r="K15" s="3" t="s">
        <v>54</v>
      </c>
      <c r="L15" s="4"/>
    </row>
    <row r="16" spans="4:12" ht="10.5" customHeight="1">
      <c r="D16" s="2"/>
      <c r="K16" s="1" t="s">
        <v>52</v>
      </c>
      <c r="L16" s="4"/>
    </row>
    <row r="17" spans="3:14" ht="44.25" customHeight="1" thickBot="1">
      <c r="C17" s="1" t="s">
        <v>6</v>
      </c>
      <c r="D17" s="1" t="s">
        <v>49</v>
      </c>
      <c r="E17" s="1" t="s">
        <v>46</v>
      </c>
      <c r="F17" s="1" t="s">
        <v>17</v>
      </c>
      <c r="G17" s="1" t="s">
        <v>19</v>
      </c>
      <c r="H17" s="1" t="s">
        <v>44</v>
      </c>
      <c r="I17" s="1" t="s">
        <v>48</v>
      </c>
      <c r="K17" s="5">
        <v>0.1</v>
      </c>
      <c r="L17" s="5">
        <v>0.2</v>
      </c>
      <c r="M17" s="5">
        <v>0.4</v>
      </c>
      <c r="N17" s="4" t="s">
        <v>55</v>
      </c>
    </row>
    <row r="18" spans="1:14" ht="28.5" thickBot="1" thickTop="1">
      <c r="A18" s="1" t="s">
        <v>5</v>
      </c>
      <c r="B18" s="1" t="s">
        <v>267</v>
      </c>
      <c r="C18" s="5">
        <f>(2.5*3+5)/90</f>
        <v>0.1388888888888889</v>
      </c>
      <c r="D18" s="6">
        <f>C18*$D$4/0.105+(1-C18)*0.023/0.105</f>
        <v>0.3605820105820106</v>
      </c>
      <c r="E18" s="3">
        <f aca="true" t="shared" si="0" ref="E18:E30">D18/0.86</f>
        <v>0.41928140765350075</v>
      </c>
      <c r="K18" s="4">
        <f aca="true" t="shared" si="1" ref="K18:M24">$E$37*K$17+(1-K$17)*$E18</f>
        <v>0.6073532668881507</v>
      </c>
      <c r="L18" s="4">
        <f t="shared" si="1"/>
        <v>0.7954251261228006</v>
      </c>
      <c r="M18" s="4">
        <f t="shared" si="1"/>
        <v>1.1715688445921004</v>
      </c>
      <c r="N18" s="4">
        <f aca="true" t="shared" si="2" ref="N18:N24">$L$19/L18</f>
        <v>1.0097074637767602</v>
      </c>
    </row>
    <row r="19" spans="2:14" ht="54.75" thickTop="1">
      <c r="B19" s="1" t="s">
        <v>47</v>
      </c>
      <c r="C19" s="5" t="s">
        <v>43</v>
      </c>
      <c r="D19" s="6">
        <f>C18*$D$4/0.105+(1-C18-0.05)*0.023/0.105+0.05*H19</f>
        <v>0.36888268822589493</v>
      </c>
      <c r="E19" s="24">
        <f t="shared" si="0"/>
        <v>0.4289333584022034</v>
      </c>
      <c r="F19" s="3"/>
      <c r="H19" s="1">
        <f>D26*I19/(D26+I19)</f>
        <v>0.3850611719253058</v>
      </c>
      <c r="I19" s="3">
        <f>$D$4/(0.105-0.05)</f>
        <v>2.363636363636364</v>
      </c>
      <c r="K19" s="4">
        <f t="shared" si="1"/>
        <v>0.6160400225619831</v>
      </c>
      <c r="L19" s="4">
        <f t="shared" si="1"/>
        <v>0.8031466867217627</v>
      </c>
      <c r="M19" s="4">
        <f t="shared" si="1"/>
        <v>1.177360015041322</v>
      </c>
      <c r="N19" s="4">
        <f t="shared" si="2"/>
        <v>1</v>
      </c>
    </row>
    <row r="20" spans="2:14" ht="27">
      <c r="B20" s="1" t="s">
        <v>7</v>
      </c>
      <c r="C20" s="5">
        <v>0.2</v>
      </c>
      <c r="D20" s="7">
        <f>0.2*G20+0.8*0.023/0.105</f>
        <v>0.24231605373501058</v>
      </c>
      <c r="E20" s="3">
        <f t="shared" si="0"/>
        <v>0.28176285318024485</v>
      </c>
      <c r="F20" s="3">
        <f>$D$4/0.105</f>
        <v>1.2380952380952381</v>
      </c>
      <c r="G20" s="3">
        <f>F20*D26/(F20+D26)</f>
        <v>0.33538979248457657</v>
      </c>
      <c r="K20" s="4">
        <f t="shared" si="1"/>
        <v>0.4835865678622204</v>
      </c>
      <c r="L20" s="4">
        <f t="shared" si="1"/>
        <v>0.6854102825441959</v>
      </c>
      <c r="M20" s="4">
        <f t="shared" si="1"/>
        <v>1.0890577119081468</v>
      </c>
      <c r="N20" s="4">
        <f t="shared" si="2"/>
        <v>1.1717750771706217</v>
      </c>
    </row>
    <row r="21" spans="2:14" ht="27">
      <c r="B21" s="1" t="s">
        <v>18</v>
      </c>
      <c r="C21" s="5">
        <v>0.2</v>
      </c>
      <c r="D21" s="7">
        <f>0.2*G21+0.8*0.023/0.105</f>
        <v>0.2807985541966125</v>
      </c>
      <c r="E21" s="3">
        <f t="shared" si="0"/>
        <v>0.3265099467402471</v>
      </c>
      <c r="F21" s="3">
        <f>$D$4/0.105</f>
        <v>1.2380952380952381</v>
      </c>
      <c r="G21" s="3">
        <f>F21*D23/(F21+D23)</f>
        <v>0.5278022947925861</v>
      </c>
      <c r="K21" s="4">
        <f t="shared" si="1"/>
        <v>0.5238589520662223</v>
      </c>
      <c r="L21" s="4">
        <f t="shared" si="1"/>
        <v>0.7212079573921977</v>
      </c>
      <c r="M21" s="4">
        <f t="shared" si="1"/>
        <v>1.115905968044148</v>
      </c>
      <c r="N21" s="4">
        <f t="shared" si="2"/>
        <v>1.113613179790536</v>
      </c>
    </row>
    <row r="22" spans="2:14" ht="15" customHeight="1">
      <c r="B22" s="1" t="s">
        <v>20</v>
      </c>
      <c r="C22" s="5"/>
      <c r="D22" s="7">
        <f>D8/0.105</f>
        <v>0.21904761904761905</v>
      </c>
      <c r="E22" s="3">
        <f t="shared" si="0"/>
        <v>0.2547065337763012</v>
      </c>
      <c r="G22" s="1">
        <f>D22/D18</f>
        <v>0.607483492296405</v>
      </c>
      <c r="K22" s="4">
        <f t="shared" si="1"/>
        <v>0.4592358803986711</v>
      </c>
      <c r="L22" s="4">
        <f t="shared" si="1"/>
        <v>0.6637652270210409</v>
      </c>
      <c r="M22" s="4">
        <f t="shared" si="1"/>
        <v>1.0728239202657806</v>
      </c>
      <c r="N22" s="4">
        <f t="shared" si="2"/>
        <v>1.2099860824681368</v>
      </c>
    </row>
    <row r="23" spans="2:14" ht="13.5">
      <c r="B23" s="1" t="s">
        <v>21</v>
      </c>
      <c r="C23" s="5"/>
      <c r="D23" s="7">
        <f>C8/0.025</f>
        <v>0.9199999999999999</v>
      </c>
      <c r="E23" s="3">
        <f t="shared" si="0"/>
        <v>1.069767441860465</v>
      </c>
      <c r="K23" s="4">
        <f t="shared" si="1"/>
        <v>1.1927906976744185</v>
      </c>
      <c r="L23" s="4">
        <f t="shared" si="1"/>
        <v>1.3158139534883722</v>
      </c>
      <c r="M23" s="4">
        <f t="shared" si="1"/>
        <v>1.561860465116279</v>
      </c>
      <c r="N23" s="4">
        <f t="shared" si="2"/>
        <v>0.6103801259992188</v>
      </c>
    </row>
    <row r="24" spans="1:14" ht="27">
      <c r="A24" s="1" t="s">
        <v>164</v>
      </c>
      <c r="B24" s="1" t="s">
        <v>166</v>
      </c>
      <c r="C24" s="5">
        <f>38/455</f>
        <v>0.08351648351648351</v>
      </c>
      <c r="D24" s="7">
        <f>D8/0.055*(1-C24)+C24*D4/(0.089/2)</f>
        <v>0.6272374816195041</v>
      </c>
      <c r="E24" s="3">
        <f t="shared" si="0"/>
        <v>0.7293459088598885</v>
      </c>
      <c r="K24" s="4">
        <f t="shared" si="1"/>
        <v>0.8864113179738996</v>
      </c>
      <c r="L24" s="4">
        <f t="shared" si="1"/>
        <v>1.0434767270879108</v>
      </c>
      <c r="M24" s="4">
        <f t="shared" si="1"/>
        <v>1.357607545315933</v>
      </c>
      <c r="N24" s="4">
        <f t="shared" si="2"/>
        <v>0.7696833727793329</v>
      </c>
    </row>
    <row r="25" spans="2:12" ht="27">
      <c r="B25" s="1" t="s">
        <v>200</v>
      </c>
      <c r="C25" s="5"/>
      <c r="D25" s="7">
        <f>1/(1/D24+1/(0.035/0.14))</f>
        <v>0.1787536142611962</v>
      </c>
      <c r="E25" s="24">
        <f t="shared" si="0"/>
        <v>0.20785303983860023</v>
      </c>
      <c r="K25" s="4"/>
      <c r="L25" s="4"/>
    </row>
    <row r="26" spans="2:14" ht="13.5">
      <c r="B26" s="1" t="s">
        <v>22</v>
      </c>
      <c r="C26" s="5"/>
      <c r="D26" s="7">
        <f>D8/0.05</f>
        <v>0.45999999999999996</v>
      </c>
      <c r="E26" s="3">
        <f t="shared" si="0"/>
        <v>0.5348837209302325</v>
      </c>
      <c r="K26" s="4">
        <f aca="true" t="shared" si="3" ref="K26:M27">$E$37*K$17+(1-K$17)*$E26</f>
        <v>0.7113953488372092</v>
      </c>
      <c r="L26" s="4">
        <f t="shared" si="3"/>
        <v>0.8879069767441861</v>
      </c>
      <c r="M26" s="4">
        <f t="shared" si="3"/>
        <v>1.2409302325581395</v>
      </c>
      <c r="N26" s="4">
        <f>$L$19/L26</f>
        <v>0.904539222866312</v>
      </c>
    </row>
    <row r="27" spans="1:14" ht="27.75" thickBot="1">
      <c r="A27" s="1" t="s">
        <v>62</v>
      </c>
      <c r="B27" s="1" t="s">
        <v>23</v>
      </c>
      <c r="C27" s="5"/>
      <c r="D27" s="8">
        <f>D9/0.05</f>
        <v>0.5599999999999999</v>
      </c>
      <c r="E27" s="25">
        <f t="shared" si="0"/>
        <v>0.6511627906976744</v>
      </c>
      <c r="K27" s="4">
        <f t="shared" si="3"/>
        <v>0.8160465116279069</v>
      </c>
      <c r="L27" s="4">
        <f t="shared" si="3"/>
        <v>0.9809302325581395</v>
      </c>
      <c r="M27" s="4">
        <f t="shared" si="3"/>
        <v>1.3106976744186045</v>
      </c>
      <c r="N27" s="4">
        <f>$L$19/L27</f>
        <v>0.8187602543631057</v>
      </c>
    </row>
    <row r="28" spans="1:12" ht="14.25" thickTop="1">
      <c r="A28" s="1" t="s">
        <v>169</v>
      </c>
      <c r="B28" s="1" t="s">
        <v>268</v>
      </c>
      <c r="C28" s="5">
        <f>38/455</f>
        <v>0.08351648351648351</v>
      </c>
      <c r="D28" s="9">
        <f>D9/0.055*(1-C28)+C28*D4/(0.055/2)</f>
        <v>0.8613786213786214</v>
      </c>
      <c r="E28" s="25">
        <f t="shared" si="0"/>
        <v>1.001603048114676</v>
      </c>
      <c r="K28" s="4"/>
      <c r="L28" s="4"/>
    </row>
    <row r="29" spans="1:12" ht="13.5">
      <c r="A29" s="1" t="s">
        <v>172</v>
      </c>
      <c r="B29" s="1" t="s">
        <v>269</v>
      </c>
      <c r="C29" s="5"/>
      <c r="D29" s="9">
        <f>D9/0.055*(1-C28)+C28*(1/(1/(D4/(0.055/2))+1/(D9/0.055)))</f>
        <v>0.504957264957265</v>
      </c>
      <c r="E29" s="25">
        <f t="shared" si="0"/>
        <v>0.5871596104154244</v>
      </c>
      <c r="K29" s="4"/>
      <c r="L29" s="4"/>
    </row>
    <row r="30" spans="1:12" ht="13.5">
      <c r="A30" s="1" t="s">
        <v>173</v>
      </c>
      <c r="B30" s="1" t="s">
        <v>270</v>
      </c>
      <c r="C30" s="5"/>
      <c r="D30" s="9">
        <f>1/(1/D28+1/(D9/0.055))</f>
        <v>0.31997794601013635</v>
      </c>
      <c r="E30" s="25">
        <f t="shared" si="0"/>
        <v>0.3720673790815539</v>
      </c>
      <c r="K30" s="4"/>
      <c r="L30" s="4"/>
    </row>
    <row r="31" spans="2:14" ht="27">
      <c r="B31" s="1" t="s">
        <v>151</v>
      </c>
      <c r="C31" s="5"/>
      <c r="D31" s="9">
        <f>$D$13/0.05</f>
        <v>0.34</v>
      </c>
      <c r="E31" s="25">
        <f>C13/0.05</f>
        <v>0.39999999999999997</v>
      </c>
      <c r="K31" s="4">
        <f aca="true" t="shared" si="4" ref="K31:M32">$E$37*K$17+(1-K$17)*$E31</f>
        <v>0.59</v>
      </c>
      <c r="L31" s="4">
        <f t="shared" si="4"/>
        <v>0.78</v>
      </c>
      <c r="M31" s="4">
        <f t="shared" si="4"/>
        <v>1.16</v>
      </c>
      <c r="N31" s="4">
        <f>$L$19/L31</f>
        <v>1.0296752393868753</v>
      </c>
    </row>
    <row r="32" spans="1:14" ht="27">
      <c r="A32" s="1" t="s">
        <v>153</v>
      </c>
      <c r="B32" s="1" t="s">
        <v>152</v>
      </c>
      <c r="C32" s="5"/>
      <c r="D32" s="9">
        <f>$D$13/0.035</f>
        <v>0.4857142857142857</v>
      </c>
      <c r="E32" s="25">
        <f>C13/0.035</f>
        <v>0.5714285714285714</v>
      </c>
      <c r="K32" s="4">
        <f t="shared" si="4"/>
        <v>0.7442857142857142</v>
      </c>
      <c r="L32" s="4">
        <f t="shared" si="4"/>
        <v>0.917142857142857</v>
      </c>
      <c r="M32" s="4">
        <f t="shared" si="4"/>
        <v>1.2628571428571427</v>
      </c>
      <c r="N32" s="4">
        <f>$L$19/L32</f>
        <v>0.8757051101327632</v>
      </c>
    </row>
    <row r="33" spans="2:7" ht="27">
      <c r="B33" s="1" t="s">
        <v>271</v>
      </c>
      <c r="C33" s="5"/>
      <c r="D33" s="9"/>
      <c r="E33" s="3">
        <v>6.5</v>
      </c>
      <c r="G33" s="1" t="s">
        <v>272</v>
      </c>
    </row>
    <row r="34" spans="2:7" ht="27">
      <c r="B34" s="1" t="s">
        <v>51</v>
      </c>
      <c r="C34" s="5"/>
      <c r="D34" s="9"/>
      <c r="E34" s="3">
        <v>2.3</v>
      </c>
      <c r="G34" s="1">
        <f>1/(1/E34+$C$37/0.86)</f>
        <v>1.89463601532567</v>
      </c>
    </row>
    <row r="35" spans="2:7" ht="13.5">
      <c r="B35" s="1" t="s">
        <v>145</v>
      </c>
      <c r="E35" s="1">
        <v>1.75</v>
      </c>
      <c r="G35" s="1">
        <f>1/(1/E35+$C$37/0.86)</f>
        <v>1.505</v>
      </c>
    </row>
    <row r="36" spans="1:5" ht="27">
      <c r="A36" s="1" t="s">
        <v>141</v>
      </c>
      <c r="B36" s="1" t="s">
        <v>273</v>
      </c>
      <c r="C36" s="5" t="s">
        <v>143</v>
      </c>
      <c r="D36" s="9"/>
      <c r="E36" s="3"/>
    </row>
    <row r="37" spans="1:5" ht="13.5">
      <c r="A37" s="1" t="s">
        <v>274</v>
      </c>
      <c r="B37" s="1">
        <f>0.55-0.42</f>
        <v>0.13000000000000006</v>
      </c>
      <c r="C37" s="3">
        <f>0.5-0.42</f>
        <v>0.08000000000000002</v>
      </c>
      <c r="D37" s="9"/>
      <c r="E37" s="3">
        <v>2.3</v>
      </c>
    </row>
    <row r="38" spans="1:6" ht="27">
      <c r="A38" s="1" t="s">
        <v>53</v>
      </c>
      <c r="C38" s="5"/>
      <c r="D38" s="9"/>
      <c r="E38" s="3"/>
      <c r="F38" s="1" t="s">
        <v>56</v>
      </c>
    </row>
    <row r="39" spans="2:5" ht="13.5">
      <c r="B39" s="1" t="s">
        <v>275</v>
      </c>
      <c r="C39" s="5" t="s">
        <v>276</v>
      </c>
      <c r="D39" s="9" t="s">
        <v>277</v>
      </c>
      <c r="E39" s="3"/>
    </row>
    <row r="40" spans="1:5" ht="13.5">
      <c r="A40" s="1" t="s">
        <v>140</v>
      </c>
      <c r="C40" s="15">
        <v>0.344</v>
      </c>
      <c r="D40" s="16">
        <v>0.43</v>
      </c>
      <c r="E40" s="3"/>
    </row>
    <row r="41" spans="1:5" ht="13.5">
      <c r="A41" s="1" t="s">
        <v>139</v>
      </c>
      <c r="C41" s="15">
        <v>2.5</v>
      </c>
      <c r="D41" s="16">
        <v>2</v>
      </c>
      <c r="E41" s="3"/>
    </row>
    <row r="42" spans="2:5" ht="13.5">
      <c r="B42" s="1" t="s">
        <v>278</v>
      </c>
      <c r="C42" s="15">
        <f>1/C40</f>
        <v>2.906976744186047</v>
      </c>
      <c r="D42" s="15">
        <f>1/D40</f>
        <v>2.3255813953488373</v>
      </c>
      <c r="E42" s="3"/>
    </row>
    <row r="43" spans="3:4" ht="13.5">
      <c r="C43" s="15"/>
      <c r="D43" s="15"/>
    </row>
    <row r="44" spans="1:6" ht="30" customHeight="1">
      <c r="A44" s="1" t="s">
        <v>279</v>
      </c>
      <c r="B44" s="1" t="s">
        <v>133</v>
      </c>
      <c r="C44" s="1" t="s">
        <v>280</v>
      </c>
      <c r="E44" s="1" t="s">
        <v>15</v>
      </c>
      <c r="F44" s="1" t="s">
        <v>14</v>
      </c>
    </row>
    <row r="45" spans="1:3" ht="15.75" customHeight="1">
      <c r="A45" s="1" t="s">
        <v>136</v>
      </c>
      <c r="B45" s="1">
        <v>2.33</v>
      </c>
      <c r="C45" s="3">
        <v>2</v>
      </c>
    </row>
    <row r="46" spans="1:6" ht="13.5">
      <c r="A46" s="1" t="s">
        <v>138</v>
      </c>
      <c r="B46" s="1">
        <v>3.49</v>
      </c>
      <c r="C46" s="3">
        <v>3</v>
      </c>
      <c r="E46" s="1" t="s">
        <v>281</v>
      </c>
      <c r="F46" s="1">
        <v>0.53</v>
      </c>
    </row>
    <row r="47" spans="1:6" ht="13.5">
      <c r="A47" s="14" t="s">
        <v>137</v>
      </c>
      <c r="B47" s="3">
        <v>4.65</v>
      </c>
      <c r="C47" s="3">
        <v>4</v>
      </c>
      <c r="E47" s="1" t="s">
        <v>282</v>
      </c>
      <c r="F47" s="1">
        <v>0.53</v>
      </c>
    </row>
    <row r="48" spans="5:6" ht="13.5">
      <c r="E48" s="1" t="s">
        <v>283</v>
      </c>
      <c r="F48" s="1">
        <v>0.53</v>
      </c>
    </row>
    <row r="50" spans="5:6" ht="13.5">
      <c r="E50" s="1" t="s">
        <v>24</v>
      </c>
      <c r="F50" s="2" t="s">
        <v>16</v>
      </c>
    </row>
    <row r="52" spans="1:3" ht="13.5">
      <c r="A52" s="1" t="s">
        <v>61</v>
      </c>
      <c r="B52" s="1" t="s">
        <v>62</v>
      </c>
      <c r="C52" s="1">
        <v>0.6</v>
      </c>
    </row>
    <row r="53" spans="1:3" ht="13.5">
      <c r="A53" s="1" t="s">
        <v>284</v>
      </c>
      <c r="B53" s="1" t="s">
        <v>285</v>
      </c>
      <c r="C53" s="1">
        <v>0.3</v>
      </c>
    </row>
    <row r="54" spans="1:3" ht="67.5">
      <c r="A54" s="1" t="s">
        <v>83</v>
      </c>
      <c r="B54" s="1" t="s">
        <v>286</v>
      </c>
      <c r="C54" s="1">
        <v>0.18</v>
      </c>
    </row>
    <row r="56" spans="3:7" ht="27">
      <c r="C56" s="1" t="s">
        <v>67</v>
      </c>
      <c r="D56" s="1" t="s">
        <v>68</v>
      </c>
      <c r="F56" s="1" t="s">
        <v>287</v>
      </c>
      <c r="G56" s="1" t="s">
        <v>288</v>
      </c>
    </row>
    <row r="57" spans="1:7" ht="13.5">
      <c r="A57" s="1" t="s">
        <v>65</v>
      </c>
      <c r="B57" s="1" t="s">
        <v>66</v>
      </c>
      <c r="C57" s="1" t="s">
        <v>70</v>
      </c>
      <c r="D57" s="1" t="s">
        <v>69</v>
      </c>
      <c r="F57" s="1" t="s">
        <v>76</v>
      </c>
      <c r="G57" s="1" t="s">
        <v>75</v>
      </c>
    </row>
    <row r="58" spans="1:7" ht="27">
      <c r="A58" s="1" t="s">
        <v>186</v>
      </c>
      <c r="B58" s="1">
        <f>1.25</f>
        <v>1.25</v>
      </c>
      <c r="C58" s="1" t="s">
        <v>84</v>
      </c>
      <c r="F58" s="1" t="s">
        <v>78</v>
      </c>
      <c r="G58" s="1" t="s">
        <v>289</v>
      </c>
    </row>
    <row r="59" spans="1:7" ht="40.5">
      <c r="A59" s="1" t="s">
        <v>187</v>
      </c>
      <c r="B59" s="1">
        <f>1.006</f>
        <v>1.006</v>
      </c>
      <c r="C59" s="1" t="s">
        <v>290</v>
      </c>
      <c r="D59" s="1" t="s">
        <v>79</v>
      </c>
      <c r="E59" s="1" t="s">
        <v>80</v>
      </c>
      <c r="F59" s="1" t="s">
        <v>291</v>
      </c>
      <c r="G59" s="1">
        <f>1.006/4.186</f>
        <v>0.24032489249880554</v>
      </c>
    </row>
    <row r="60" spans="1:3" ht="13.5">
      <c r="A60" s="1" t="s">
        <v>85</v>
      </c>
      <c r="B60" s="1" t="s">
        <v>292</v>
      </c>
      <c r="C60" s="1" t="s">
        <v>293</v>
      </c>
    </row>
    <row r="61" spans="1:8" ht="13.5">
      <c r="A61" s="1" t="s">
        <v>71</v>
      </c>
      <c r="C61" s="1" t="s">
        <v>294</v>
      </c>
      <c r="D61" s="14" t="s">
        <v>295</v>
      </c>
      <c r="E61" s="14" t="s">
        <v>322</v>
      </c>
      <c r="F61" s="14" t="s">
        <v>319</v>
      </c>
      <c r="G61" s="14" t="s">
        <v>320</v>
      </c>
      <c r="H61" s="2" t="s">
        <v>88</v>
      </c>
    </row>
    <row r="62" spans="2:7" ht="13.5">
      <c r="B62" s="1" t="s">
        <v>296</v>
      </c>
      <c r="C62" s="26">
        <v>31.69</v>
      </c>
      <c r="D62" s="26">
        <v>35.66</v>
      </c>
      <c r="E62" s="26"/>
      <c r="F62" s="26"/>
      <c r="G62" s="26"/>
    </row>
    <row r="63" spans="2:7" ht="13.5">
      <c r="B63" s="1" t="s">
        <v>297</v>
      </c>
      <c r="C63" s="26">
        <v>23.06</v>
      </c>
      <c r="D63" s="26">
        <v>25.78</v>
      </c>
      <c r="E63" s="26">
        <v>17.3</v>
      </c>
      <c r="F63" s="26">
        <v>4.8</v>
      </c>
      <c r="G63" s="26">
        <v>6.8</v>
      </c>
    </row>
    <row r="64" spans="1:7" ht="13.5">
      <c r="A64" s="1" t="s">
        <v>72</v>
      </c>
      <c r="B64" s="1" t="s">
        <v>298</v>
      </c>
      <c r="C64" s="26">
        <v>583.1</v>
      </c>
      <c r="D64" s="26">
        <v>581.9</v>
      </c>
      <c r="E64" s="26"/>
      <c r="F64" s="26"/>
      <c r="G64" s="26"/>
    </row>
    <row r="65" spans="2:7" ht="13.5">
      <c r="B65" s="14" t="s">
        <v>299</v>
      </c>
      <c r="C65" s="26">
        <f>C64*4.186</f>
        <v>2440.8566</v>
      </c>
      <c r="D65" s="26">
        <v>2435</v>
      </c>
      <c r="E65" s="26">
        <v>2451</v>
      </c>
      <c r="F65" s="26">
        <v>2498</v>
      </c>
      <c r="G65" s="26">
        <v>2487</v>
      </c>
    </row>
    <row r="66" spans="1:8" ht="13.5">
      <c r="A66" s="1" t="s">
        <v>115</v>
      </c>
      <c r="B66" s="14"/>
      <c r="C66" s="1" t="s">
        <v>300</v>
      </c>
      <c r="D66" s="1" t="s">
        <v>318</v>
      </c>
      <c r="E66" s="1" t="s">
        <v>301</v>
      </c>
      <c r="G66" s="1">
        <f>50*1000*4.186/(60*60)</f>
        <v>58.138888888888886</v>
      </c>
      <c r="H66" s="1" t="s">
        <v>302</v>
      </c>
    </row>
    <row r="67" spans="2:4" ht="13.5">
      <c r="B67" s="1" t="s">
        <v>307</v>
      </c>
      <c r="C67" s="1" t="s">
        <v>95</v>
      </c>
      <c r="D67" s="10" t="s">
        <v>96</v>
      </c>
    </row>
    <row r="68" spans="2:4" ht="13.5">
      <c r="B68" s="10">
        <v>0.4</v>
      </c>
      <c r="C68" s="10">
        <v>0.65</v>
      </c>
      <c r="D68" s="10">
        <v>0.55</v>
      </c>
    </row>
    <row r="69" spans="1:4" ht="13.5">
      <c r="A69" s="1" t="s">
        <v>97</v>
      </c>
      <c r="B69" s="1" t="s">
        <v>201</v>
      </c>
      <c r="C69" s="1" t="s">
        <v>98</v>
      </c>
      <c r="D69" s="1" t="s">
        <v>99</v>
      </c>
    </row>
    <row r="70" spans="1:5" ht="13.5">
      <c r="A70" s="1" t="s">
        <v>202</v>
      </c>
      <c r="B70" s="1">
        <f>(C70+D70)*1000/24/2600</f>
        <v>0.42788461538461536</v>
      </c>
      <c r="C70" s="19">
        <v>12.7</v>
      </c>
      <c r="D70" s="19">
        <v>14</v>
      </c>
      <c r="E70" s="2" t="s">
        <v>321</v>
      </c>
    </row>
    <row r="71" spans="1:4" ht="13.5">
      <c r="A71" s="1" t="s">
        <v>203</v>
      </c>
      <c r="B71" s="1">
        <f>(C71+D71)*1000/24/2600</f>
        <v>0.20352564102564102</v>
      </c>
      <c r="C71" s="19">
        <v>12.7</v>
      </c>
      <c r="D71" s="19"/>
    </row>
    <row r="72" spans="2:12" ht="28.5" customHeight="1">
      <c r="B72" s="1" t="s">
        <v>150</v>
      </c>
      <c r="C72" s="1" t="s">
        <v>198</v>
      </c>
      <c r="D72" s="1" t="s">
        <v>168</v>
      </c>
      <c r="E72" s="1" t="s">
        <v>199</v>
      </c>
      <c r="F72" s="1" t="s">
        <v>160</v>
      </c>
      <c r="G72" s="1" t="s">
        <v>181</v>
      </c>
      <c r="H72" s="1" t="s">
        <v>159</v>
      </c>
      <c r="I72" s="1" t="s">
        <v>239</v>
      </c>
      <c r="J72" s="1" t="s">
        <v>242</v>
      </c>
      <c r="K72" s="3" t="s">
        <v>243</v>
      </c>
      <c r="L72" s="1" t="s">
        <v>240</v>
      </c>
    </row>
    <row r="73" spans="2:12" ht="28.5" customHeight="1">
      <c r="B73" s="1" t="s">
        <v>165</v>
      </c>
      <c r="C73" s="44">
        <v>0</v>
      </c>
      <c r="D73" s="43">
        <v>5</v>
      </c>
      <c r="E73" s="5">
        <v>0.85</v>
      </c>
      <c r="L73" s="1">
        <f>F74*G74</f>
        <v>44.1</v>
      </c>
    </row>
    <row r="74" spans="1:11" ht="27">
      <c r="A74" s="1" t="s">
        <v>121</v>
      </c>
      <c r="B74" s="1" t="s">
        <v>197</v>
      </c>
      <c r="C74" s="43">
        <v>20</v>
      </c>
      <c r="D74" s="43"/>
      <c r="E74" s="5">
        <v>0.6</v>
      </c>
      <c r="F74" s="1">
        <f>7*0.9</f>
        <v>6.3</v>
      </c>
      <c r="G74" s="1">
        <f>10*0.7</f>
        <v>7</v>
      </c>
      <c r="H74" s="1">
        <f>0.5+2.5+0.42+2.4+0.35+1.4+0.5</f>
        <v>8.07</v>
      </c>
      <c r="I74" s="1">
        <f>H74-1.4</f>
        <v>6.67</v>
      </c>
      <c r="J74" s="1">
        <v>0.6</v>
      </c>
      <c r="K74" s="3">
        <v>1</v>
      </c>
    </row>
    <row r="75" spans="2:17" ht="54">
      <c r="B75" s="1" t="s">
        <v>155</v>
      </c>
      <c r="C75" s="1" t="s">
        <v>156</v>
      </c>
      <c r="D75" s="1" t="s">
        <v>204</v>
      </c>
      <c r="E75" s="1" t="s">
        <v>122</v>
      </c>
      <c r="F75" s="1" t="s">
        <v>157</v>
      </c>
      <c r="G75" s="1" t="s">
        <v>158</v>
      </c>
      <c r="H75" s="1" t="s">
        <v>124</v>
      </c>
      <c r="I75" s="1" t="s">
        <v>205</v>
      </c>
      <c r="J75" s="1" t="s">
        <v>125</v>
      </c>
      <c r="K75" s="1" t="s">
        <v>206</v>
      </c>
      <c r="L75" s="3" t="s">
        <v>241</v>
      </c>
      <c r="M75" s="1" t="s">
        <v>244</v>
      </c>
      <c r="Q75" s="4"/>
    </row>
    <row r="76" spans="1:17" ht="13.5">
      <c r="A76" s="1" t="s">
        <v>163</v>
      </c>
      <c r="B76" s="17">
        <f>7.5*9*0.9*0.9</f>
        <v>54.675000000000004</v>
      </c>
      <c r="C76" s="17">
        <f>7.5*2*0.9*0.9</f>
        <v>12.15</v>
      </c>
      <c r="D76" s="17"/>
      <c r="E76" s="17">
        <f>F74*(H74+I74)/2</f>
        <v>46.431</v>
      </c>
      <c r="F76" s="17">
        <f>G74*I74</f>
        <v>46.69</v>
      </c>
      <c r="G76" s="17">
        <f>G74*I74</f>
        <v>46.69</v>
      </c>
      <c r="H76" s="17">
        <f>F74*I74</f>
        <v>42.021</v>
      </c>
      <c r="J76" s="17">
        <f>F74*G74</f>
        <v>44.1</v>
      </c>
      <c r="K76" s="1"/>
      <c r="L76" s="3">
        <f>J74*(F74+G74)*2</f>
        <v>15.96</v>
      </c>
      <c r="M76" s="1">
        <f>(F74*G74-(F74-K74*2)*(G74-K74*2))</f>
        <v>22.6</v>
      </c>
      <c r="Q76" s="4"/>
    </row>
    <row r="77" spans="1:17" ht="13.5">
      <c r="A77" s="1" t="s">
        <v>123</v>
      </c>
      <c r="B77" s="17">
        <f>0.3*0.3*2</f>
        <v>0.18</v>
      </c>
      <c r="C77" s="17">
        <v>0</v>
      </c>
      <c r="D77" s="17"/>
      <c r="E77" s="17">
        <f>1.8*1.5*(4)</f>
        <v>10.8</v>
      </c>
      <c r="F77" s="17">
        <f>1.2*0.6*2+0.9*1.5*3</f>
        <v>5.49</v>
      </c>
      <c r="G77" s="17">
        <f>0.9*1.5*2+0.6*0.9*2</f>
        <v>3.7800000000000002</v>
      </c>
      <c r="H77" s="17">
        <f>0.45*1.2*2+0.45*0.6*2+0.9*0.9</f>
        <v>2.43</v>
      </c>
      <c r="J77" s="17">
        <v>0</v>
      </c>
      <c r="K77" s="1"/>
      <c r="L77" s="3"/>
      <c r="M77" s="1"/>
      <c r="Q77" s="4"/>
    </row>
    <row r="78" spans="1:17" ht="13.5">
      <c r="A78" s="1" t="s">
        <v>154</v>
      </c>
      <c r="B78" s="17">
        <f>B76-B77</f>
        <v>54.495000000000005</v>
      </c>
      <c r="C78" s="17">
        <f>C76-C77</f>
        <v>12.15</v>
      </c>
      <c r="D78" s="17"/>
      <c r="E78" s="17">
        <f>E76-E77</f>
        <v>35.631</v>
      </c>
      <c r="F78" s="17">
        <f>F76-F77</f>
        <v>41.199999999999996</v>
      </c>
      <c r="G78" s="17">
        <f>G76-G77</f>
        <v>42.91</v>
      </c>
      <c r="H78" s="17">
        <f>H76-H77</f>
        <v>39.591</v>
      </c>
      <c r="J78" s="17">
        <f>J76-J77</f>
        <v>44.1</v>
      </c>
      <c r="K78" s="1"/>
      <c r="L78" s="3"/>
      <c r="M78" s="1"/>
      <c r="Q78" s="4"/>
    </row>
    <row r="79" spans="1:17" ht="13.5">
      <c r="A79" s="1" t="s">
        <v>148</v>
      </c>
      <c r="B79" s="17">
        <f>$C$73</f>
        <v>0</v>
      </c>
      <c r="C79" s="17">
        <f>$C$73</f>
        <v>0</v>
      </c>
      <c r="D79" s="17"/>
      <c r="E79" s="17">
        <f>$C$73</f>
        <v>0</v>
      </c>
      <c r="F79" s="17">
        <f>$C$73</f>
        <v>0</v>
      </c>
      <c r="G79" s="17">
        <f>$C$73</f>
        <v>0</v>
      </c>
      <c r="H79" s="17">
        <f>$C$73</f>
        <v>0</v>
      </c>
      <c r="J79" s="17">
        <f>$C$73-2</f>
        <v>-2</v>
      </c>
      <c r="K79" s="1"/>
      <c r="L79" s="3"/>
      <c r="M79" s="1"/>
      <c r="Q79" s="4"/>
    </row>
    <row r="80" spans="1:17" ht="13.5">
      <c r="A80" s="1" t="s">
        <v>167</v>
      </c>
      <c r="B80" s="22">
        <f>$D80*B$78*(B$79-$C$74)</f>
        <v>-226.5390281200904</v>
      </c>
      <c r="C80" s="22">
        <f>$D80*C$78*(C$79-$C$74)</f>
        <v>-50.508288680779856</v>
      </c>
      <c r="D80" s="21">
        <f>$E$25</f>
        <v>0.20785303983860023</v>
      </c>
      <c r="E80" s="23">
        <f>$I80*E$78*(E79-$C$74)</f>
        <v>-305.66648986457824</v>
      </c>
      <c r="F80" s="23">
        <f>$I80*F$78*(F79-$C$74)</f>
        <v>-353.4410873234156</v>
      </c>
      <c r="G80" s="23">
        <f>$I80*G$78*(G79-$C$74)</f>
        <v>-368.11060818077095</v>
      </c>
      <c r="H80" s="23">
        <f>$I80*H$78*(H79-$C$74)</f>
        <v>-339.6380118500327</v>
      </c>
      <c r="I80" s="21">
        <f>$E$19</f>
        <v>0.4289333584022034</v>
      </c>
      <c r="J80" s="37">
        <f>K80*J78*(J79-C74)</f>
        <v>-416.15114432181775</v>
      </c>
      <c r="K80" s="3">
        <f>E19</f>
        <v>0.4289333584022034</v>
      </c>
      <c r="L80" s="3"/>
      <c r="M80" s="1"/>
      <c r="Q80" s="4"/>
    </row>
    <row r="81" spans="1:17" ht="13.5">
      <c r="A81" s="1" t="s">
        <v>149</v>
      </c>
      <c r="B81" s="17">
        <f>$C$73</f>
        <v>0</v>
      </c>
      <c r="C81" s="17">
        <f>$C$73</f>
        <v>0</v>
      </c>
      <c r="D81" s="17"/>
      <c r="E81" s="17">
        <f>$C$73</f>
        <v>0</v>
      </c>
      <c r="F81" s="17">
        <f>$C$73</f>
        <v>0</v>
      </c>
      <c r="G81" s="17">
        <f>$C$73</f>
        <v>0</v>
      </c>
      <c r="H81" s="17">
        <f>$C$73</f>
        <v>0</v>
      </c>
      <c r="I81" s="17"/>
      <c r="J81" s="17">
        <f>$C$73-2</f>
        <v>-2</v>
      </c>
      <c r="K81" s="1"/>
      <c r="L81" s="3"/>
      <c r="M81" s="1"/>
      <c r="Q81" s="4"/>
    </row>
    <row r="82" spans="1:17" ht="27">
      <c r="A82" s="1" t="s">
        <v>185</v>
      </c>
      <c r="B82" s="46">
        <f>$D82*B$78*(B$81-$C$74)</f>
        <v>-1091.6471621401856</v>
      </c>
      <c r="C82" s="47">
        <f aca="true" t="shared" si="5" ref="B82:C84">$D82*C$78*(C$81-$C$74)</f>
        <v>-243.38954069186627</v>
      </c>
      <c r="D82" s="47">
        <f>$E$28</f>
        <v>1.001603048114676</v>
      </c>
      <c r="E82" s="47">
        <f>$I82*E$78*(E$81-$C$74)</f>
        <v>-407.2114285714286</v>
      </c>
      <c r="F82" s="47">
        <f>$I82*F$78*(F$81-$C$74)</f>
        <v>-470.8571428571428</v>
      </c>
      <c r="G82" s="47">
        <f>$I82*G$78*(G$81-$C$74)</f>
        <v>-490.3999999999999</v>
      </c>
      <c r="H82" s="47">
        <f>$I82*H$78*(H$81-$C$74)</f>
        <v>-452.46857142857147</v>
      </c>
      <c r="I82" s="47">
        <f>E32</f>
        <v>0.5714285714285714</v>
      </c>
      <c r="J82" s="48">
        <f>K82*($L$76+$M$76)*(J$81-$C$74)</f>
        <v>-552.3944186046512</v>
      </c>
      <c r="K82" s="3">
        <f>E27</f>
        <v>0.6511627906976744</v>
      </c>
      <c r="L82" s="3"/>
      <c r="M82" s="1"/>
      <c r="Q82" s="4"/>
    </row>
    <row r="83" spans="1:17" ht="27">
      <c r="A83" s="1" t="s">
        <v>217</v>
      </c>
      <c r="B83" s="49">
        <f t="shared" si="5"/>
        <v>-639.9452593917711</v>
      </c>
      <c r="C83" s="50">
        <f t="shared" si="5"/>
        <v>-142.67978533094814</v>
      </c>
      <c r="D83" s="50">
        <f>$E$29</f>
        <v>0.5871596104154244</v>
      </c>
      <c r="E83" s="50"/>
      <c r="F83" s="50"/>
      <c r="G83" s="50"/>
      <c r="H83" s="50"/>
      <c r="I83" s="50"/>
      <c r="J83" s="51"/>
      <c r="K83" s="1"/>
      <c r="L83" s="3"/>
      <c r="M83" s="1"/>
      <c r="Q83" s="4"/>
    </row>
    <row r="84" spans="1:17" ht="27">
      <c r="A84" s="1" t="s">
        <v>216</v>
      </c>
      <c r="B84" s="52">
        <f t="shared" si="5"/>
        <v>-405.5162364609856</v>
      </c>
      <c r="C84" s="53">
        <f t="shared" si="5"/>
        <v>-90.4123731168176</v>
      </c>
      <c r="D84" s="53">
        <f>$E$30</f>
        <v>0.3720673790815539</v>
      </c>
      <c r="E84" s="47">
        <f>$I84*E$78*(E$81-$C$74)</f>
        <v>-285.048</v>
      </c>
      <c r="F84" s="47">
        <f>$I84*F$78*(F$81-$C$74)</f>
        <v>-329.5999999999999</v>
      </c>
      <c r="G84" s="47">
        <f>$I84*G$78*(G$81-$C$74)</f>
        <v>-343.28</v>
      </c>
      <c r="H84" s="47">
        <f>$I84*H$78*(H$81-$C$74)</f>
        <v>-316.728</v>
      </c>
      <c r="I84" s="53">
        <f>$E$31</f>
        <v>0.39999999999999997</v>
      </c>
      <c r="J84" s="48">
        <f>K84*($L$76+$M$76)*(J$81-$C$74)</f>
        <v>-552.3944186046512</v>
      </c>
      <c r="K84" s="3">
        <f>E27</f>
        <v>0.6511627906976744</v>
      </c>
      <c r="L84" s="3"/>
      <c r="M84" s="1"/>
      <c r="Q84" s="4"/>
    </row>
    <row r="85" spans="1:8" ht="13.5">
      <c r="A85" s="1" t="s">
        <v>184</v>
      </c>
      <c r="B85" s="17">
        <f>B77*($D$73-$C$74)*$G$34</f>
        <v>-5.115517241379309</v>
      </c>
      <c r="C85" s="17">
        <f>C77*($D$73-$C$74)*$G$34</f>
        <v>0</v>
      </c>
      <c r="D85" s="17"/>
      <c r="E85" s="17">
        <f>E77*(E$81-$C$74)*$G$34</f>
        <v>-409.2413793103447</v>
      </c>
      <c r="F85" s="17">
        <f>F77*(F$81-$C$74)*$G$34</f>
        <v>-208.0310344827586</v>
      </c>
      <c r="G85" s="17">
        <f>G77*(G$81-$C$74)*$G$34</f>
        <v>-143.2344827586207</v>
      </c>
      <c r="H85" s="17">
        <f>H77*(H$81-$C$74)*$G$34</f>
        <v>-92.07931034482756</v>
      </c>
    </row>
    <row r="86" spans="1:8" ht="41.25" thickBot="1">
      <c r="A86" s="1" t="s">
        <v>329</v>
      </c>
      <c r="B86" s="17" t="s">
        <v>303</v>
      </c>
      <c r="C86" s="17" t="s">
        <v>304</v>
      </c>
      <c r="D86" s="17" t="s">
        <v>208</v>
      </c>
      <c r="E86" s="17" t="s">
        <v>209</v>
      </c>
      <c r="F86" s="17" t="s">
        <v>62</v>
      </c>
      <c r="G86" s="1" t="s">
        <v>327</v>
      </c>
      <c r="H86" s="17" t="s">
        <v>247</v>
      </c>
    </row>
    <row r="87" spans="1:8" ht="14.25" thickTop="1">
      <c r="A87" s="28" t="s">
        <v>210</v>
      </c>
      <c r="B87" s="29">
        <f>SUM(B80:C80)</f>
        <v>-277.04731680087025</v>
      </c>
      <c r="C87" s="29">
        <f>SUM(B82:C82)</f>
        <v>-1335.036702832052</v>
      </c>
      <c r="D87" s="29">
        <f>SUM(B83:C83)</f>
        <v>-782.6250447227192</v>
      </c>
      <c r="E87" s="29">
        <f>SUM(B84:C84)</f>
        <v>-495.92860957780323</v>
      </c>
      <c r="F87" s="30"/>
      <c r="H87" s="17"/>
    </row>
    <row r="88" spans="1:8" ht="13.5">
      <c r="A88" s="31" t="s">
        <v>211</v>
      </c>
      <c r="B88" s="20">
        <f>SUM(E80:H80)</f>
        <v>-1366.8561972187974</v>
      </c>
      <c r="C88" s="20">
        <f>SUM(E82:H82)</f>
        <v>-1820.9371428571428</v>
      </c>
      <c r="D88" s="20">
        <f>C88</f>
        <v>-1820.9371428571428</v>
      </c>
      <c r="E88" s="20">
        <f>SUM(E84:H84)</f>
        <v>-1274.656</v>
      </c>
      <c r="F88" s="32"/>
      <c r="H88" s="17"/>
    </row>
    <row r="89" spans="1:8" ht="13.5">
      <c r="A89" s="31" t="s">
        <v>212</v>
      </c>
      <c r="B89" s="20">
        <f>SUM($B85:$H85)</f>
        <v>-857.7017241379309</v>
      </c>
      <c r="C89" s="20">
        <f>SUM($B85:$H85)</f>
        <v>-857.7017241379309</v>
      </c>
      <c r="D89" s="20">
        <f>SUM($B85:$H85)</f>
        <v>-857.7017241379309</v>
      </c>
      <c r="E89" s="20">
        <f>SUM($B85:$H85)</f>
        <v>-857.7017241379309</v>
      </c>
      <c r="F89" s="32"/>
      <c r="H89" s="17"/>
    </row>
    <row r="90" spans="1:8" ht="13.5">
      <c r="A90" s="31" t="s">
        <v>213</v>
      </c>
      <c r="B90" s="20">
        <f>J80</f>
        <v>-416.15114432181775</v>
      </c>
      <c r="C90" s="20">
        <f>J82</f>
        <v>-552.3944186046512</v>
      </c>
      <c r="D90" s="20">
        <f>J82</f>
        <v>-552.3944186046512</v>
      </c>
      <c r="E90" s="20">
        <f>J84</f>
        <v>-552.3944186046512</v>
      </c>
      <c r="F90" s="32"/>
      <c r="H90" s="17"/>
    </row>
    <row r="91" spans="1:8" ht="13.5">
      <c r="A91" s="31" t="s">
        <v>190</v>
      </c>
      <c r="B91" s="20">
        <f>$G66*4</f>
        <v>232.55555555555554</v>
      </c>
      <c r="C91" s="20">
        <f aca="true" t="shared" si="6" ref="C91:E94">$B91</f>
        <v>232.55555555555554</v>
      </c>
      <c r="D91" s="20">
        <f t="shared" si="6"/>
        <v>232.55555555555554</v>
      </c>
      <c r="E91" s="20">
        <f t="shared" si="6"/>
        <v>232.55555555555554</v>
      </c>
      <c r="F91" s="32"/>
      <c r="H91" s="17"/>
    </row>
    <row r="92" spans="1:6" ht="13.5">
      <c r="A92" s="31" t="s">
        <v>215</v>
      </c>
      <c r="B92" s="20">
        <v>400</v>
      </c>
      <c r="C92" s="20">
        <f t="shared" si="6"/>
        <v>400</v>
      </c>
      <c r="D92" s="20">
        <f t="shared" si="6"/>
        <v>400</v>
      </c>
      <c r="E92" s="20">
        <f t="shared" si="6"/>
        <v>400</v>
      </c>
      <c r="F92" s="32"/>
    </row>
    <row r="93" spans="1:8" ht="13.5">
      <c r="A93" s="31" t="s">
        <v>192</v>
      </c>
      <c r="B93" s="20">
        <f>B58*B59*(C73-C74)*D109</f>
        <v>-1.117777777777778</v>
      </c>
      <c r="C93" s="20">
        <f t="shared" si="6"/>
        <v>-1.117777777777778</v>
      </c>
      <c r="D93" s="20">
        <f t="shared" si="6"/>
        <v>-1.117777777777778</v>
      </c>
      <c r="E93" s="20">
        <f t="shared" si="6"/>
        <v>-1.117777777777778</v>
      </c>
      <c r="F93" s="32"/>
      <c r="H93" s="39">
        <v>0.7</v>
      </c>
    </row>
    <row r="94" spans="1:9" ht="14.25" thickBot="1">
      <c r="A94" s="33" t="s">
        <v>196</v>
      </c>
      <c r="B94" s="34">
        <f>F109</f>
        <v>-917.5653333333335</v>
      </c>
      <c r="C94" s="34">
        <f t="shared" si="6"/>
        <v>-917.5653333333335</v>
      </c>
      <c r="D94" s="34">
        <f t="shared" si="6"/>
        <v>-917.5653333333335</v>
      </c>
      <c r="E94" s="34">
        <f t="shared" si="6"/>
        <v>-917.5653333333335</v>
      </c>
      <c r="F94" s="35"/>
      <c r="H94" s="39">
        <v>0.75</v>
      </c>
      <c r="I94" s="36" t="s">
        <v>238</v>
      </c>
    </row>
    <row r="95" spans="1:8" ht="14.25" thickTop="1">
      <c r="A95" s="54" t="s">
        <v>214</v>
      </c>
      <c r="B95" s="56">
        <f>SUM(B87:B94)</f>
        <v>-3203.8839380349723</v>
      </c>
      <c r="C95" s="56">
        <f>SUM(C87:C94)</f>
        <v>-4852.197543987332</v>
      </c>
      <c r="D95" s="56">
        <f>SUM(D87:D94)</f>
        <v>-4299.785885878</v>
      </c>
      <c r="E95" s="56">
        <f>SUM(E87:E94)</f>
        <v>-3466.808307875941</v>
      </c>
      <c r="F95" s="17"/>
      <c r="H95" s="17">
        <v>20</v>
      </c>
    </row>
    <row r="96" spans="1:8" ht="27">
      <c r="A96" s="1" t="s">
        <v>248</v>
      </c>
      <c r="B96" s="17">
        <f>SUM(B87:B92)+B93*(1-$H93)+B94*(1-$H94)+$H95</f>
        <v>-2494.927493590528</v>
      </c>
      <c r="C96" s="17">
        <f>SUM(C87:C92)+C93*(1-$H93)+C94*(1-$H94)+$H95</f>
        <v>-4143.241099542887</v>
      </c>
      <c r="D96" s="17">
        <f>SUM(D87:D92)+D93*(1-$H93)+D94*(1-$H94)+$H95</f>
        <v>-3590.829441433555</v>
      </c>
      <c r="E96" s="17">
        <f>SUM(E87:E92)+E93*(1-$H93)+E94*(1-$H94)+$H95</f>
        <v>-2757.8518634314964</v>
      </c>
      <c r="F96" s="17"/>
      <c r="H96" s="17"/>
    </row>
    <row r="97" spans="2:9" ht="13.5">
      <c r="B97" s="17"/>
      <c r="C97" s="17"/>
      <c r="D97" s="17"/>
      <c r="E97" s="17"/>
      <c r="F97" s="17"/>
      <c r="G97" s="17"/>
      <c r="H97" s="18"/>
      <c r="I97" s="18"/>
    </row>
    <row r="98" spans="1:8" ht="13.5">
      <c r="A98" s="1" t="s">
        <v>249</v>
      </c>
      <c r="B98" s="17">
        <f>-B95/$H118</f>
        <v>627.4272711985154</v>
      </c>
      <c r="C98" s="17">
        <f>-C95/$I118</f>
        <v>916.5262027531628</v>
      </c>
      <c r="D98" s="17">
        <f>-D95/$I118</f>
        <v>812.1817784436223</v>
      </c>
      <c r="E98" s="17">
        <f>-E95/$H118</f>
        <v>678.9166269590384</v>
      </c>
      <c r="F98" s="17"/>
      <c r="G98" s="17" t="s">
        <v>314</v>
      </c>
      <c r="H98" s="42">
        <v>24</v>
      </c>
    </row>
    <row r="99" spans="1:10" ht="27">
      <c r="A99" s="1" t="s">
        <v>315</v>
      </c>
      <c r="B99" s="17">
        <f>B98*$H$98*30/1000</f>
        <v>451.7476352629311</v>
      </c>
      <c r="C99" s="17">
        <f>C98*$H$98*30/1000</f>
        <v>659.8988659822774</v>
      </c>
      <c r="D99" s="17">
        <f>D98*$H$98*30/1000</f>
        <v>584.770880479408</v>
      </c>
      <c r="E99" s="17">
        <f>E98*$H$98*30/1000</f>
        <v>488.8199714105076</v>
      </c>
      <c r="F99" s="17"/>
      <c r="G99" s="17" t="s">
        <v>309</v>
      </c>
      <c r="H99" s="1" t="s">
        <v>316</v>
      </c>
      <c r="I99" s="1" t="s">
        <v>317</v>
      </c>
      <c r="J99" s="1" t="s">
        <v>312</v>
      </c>
    </row>
    <row r="100" spans="1:10" ht="13.5">
      <c r="A100" s="54" t="s">
        <v>308</v>
      </c>
      <c r="B100" s="55">
        <f>IF(B99&gt;120,(B99-120)*$I$100+120*$H$100,B99*$H$100)</f>
        <v>8726.823620884787</v>
      </c>
      <c r="C100" s="55">
        <f>IF(C99&gt;120,(C99-120)*$I$100+120*$H$100,C99*$H$100)</f>
        <v>13029.309559853675</v>
      </c>
      <c r="D100" s="55">
        <f>IF(D99&gt;120,(D99-120)*$I$100+120*$H$100,D99*$H$100)</f>
        <v>11476.414099509364</v>
      </c>
      <c r="E100" s="55">
        <f>IF(E99&gt;120,(E99-120)*$I$100+120*$H$100,E99*$H$100)</f>
        <v>9493.108809055193</v>
      </c>
      <c r="F100" s="17"/>
      <c r="G100" s="17" t="s">
        <v>313</v>
      </c>
      <c r="H100" s="41">
        <v>15.58</v>
      </c>
      <c r="I100" s="41">
        <v>20.67</v>
      </c>
      <c r="J100" s="41">
        <v>22.43</v>
      </c>
    </row>
    <row r="101" spans="1:7" ht="27">
      <c r="A101" s="1" t="s">
        <v>250</v>
      </c>
      <c r="B101" s="17">
        <f>-B96/F$118</f>
        <v>454.43322204684614</v>
      </c>
      <c r="C101" s="17">
        <f>-C96/I$118</f>
        <v>782.6122076914343</v>
      </c>
      <c r="D101" s="17">
        <f>-D96/H$118</f>
        <v>703.2040989474045</v>
      </c>
      <c r="E101" s="17">
        <f>-E96/F$118</f>
        <v>502.3230179821654</v>
      </c>
      <c r="F101" s="17"/>
      <c r="G101" s="17"/>
    </row>
    <row r="102" spans="1:9" ht="13.5">
      <c r="A102" s="1" t="s">
        <v>315</v>
      </c>
      <c r="B102" s="17">
        <f>B101*$H$98*30/1000</f>
        <v>327.1919198737292</v>
      </c>
      <c r="C102" s="17">
        <f>C101*$H$98*30/1000</f>
        <v>563.4807895378326</v>
      </c>
      <c r="D102" s="17">
        <f>D101*$H$98*30/1000</f>
        <v>506.3069512421313</v>
      </c>
      <c r="E102" s="17">
        <f>E101*$H$98*30/1000</f>
        <v>361.6725729471591</v>
      </c>
      <c r="F102" s="17"/>
      <c r="G102" s="17"/>
      <c r="H102" s="18"/>
      <c r="I102" s="18"/>
    </row>
    <row r="103" spans="1:10" ht="27">
      <c r="A103" s="1" t="s">
        <v>308</v>
      </c>
      <c r="B103" s="40">
        <f>IF(B102&gt;120,(B102-120)*$I$100+120*$H$100,B102*$H$100)</f>
        <v>6152.256983789983</v>
      </c>
      <c r="C103" s="40">
        <f>IF(C102&gt;120,(C102-120)*$I$100+120*$H$100,C102*$H$100)</f>
        <v>11036.347919747</v>
      </c>
      <c r="D103" s="40">
        <f>IF(D102&gt;120,(D102-120)*$I$100+120*$H$100,D102*$H$100)</f>
        <v>9854.564682174854</v>
      </c>
      <c r="E103" s="40">
        <f>IF(E102&gt;120,(E102-120)*$I$100+120*$H$100,E102*$H$100)</f>
        <v>6864.97208281778</v>
      </c>
      <c r="F103" s="17"/>
      <c r="G103" s="17"/>
      <c r="H103" s="18" t="s">
        <v>221</v>
      </c>
      <c r="I103" s="18" t="s">
        <v>197</v>
      </c>
      <c r="J103" s="1" t="s">
        <v>323</v>
      </c>
    </row>
    <row r="104" spans="2:9" ht="13.5">
      <c r="B104" s="17"/>
      <c r="C104" s="17"/>
      <c r="D104" s="17"/>
      <c r="E104" s="17"/>
      <c r="F104" s="17"/>
      <c r="G104" s="18"/>
      <c r="H104" s="1" t="str">
        <f>F61</f>
        <v>0℃</v>
      </c>
      <c r="I104" s="43">
        <f>C74</f>
        <v>20</v>
      </c>
    </row>
    <row r="105" spans="2:10" ht="27">
      <c r="B105" s="17"/>
      <c r="C105" s="17" t="s">
        <v>161</v>
      </c>
      <c r="D105" s="17" t="s">
        <v>162</v>
      </c>
      <c r="E105" s="17" t="s">
        <v>176</v>
      </c>
      <c r="F105" s="17"/>
      <c r="G105" s="1" t="s">
        <v>224</v>
      </c>
      <c r="H105" s="27">
        <f>F63</f>
        <v>4.8</v>
      </c>
      <c r="I105" s="27">
        <f>E63</f>
        <v>17.3</v>
      </c>
      <c r="J105" s="1">
        <f>I105*I106-H105*H106</f>
        <v>8.46</v>
      </c>
    </row>
    <row r="106" spans="1:9" ht="13.5">
      <c r="A106" s="1" t="s">
        <v>147</v>
      </c>
      <c r="B106" s="17">
        <f>C106+D106</f>
        <v>311.53499999999997</v>
      </c>
      <c r="C106" s="17">
        <f>F74*G74*I74</f>
        <v>294.147</v>
      </c>
      <c r="D106" s="17">
        <f>4.6*5.4*1.4/2</f>
        <v>17.387999999999998</v>
      </c>
      <c r="E106" s="17">
        <f>F74*G74*0.5</f>
        <v>22.05</v>
      </c>
      <c r="F106" s="17"/>
      <c r="G106" s="17" t="s">
        <v>222</v>
      </c>
      <c r="H106" s="5">
        <f>B68</f>
        <v>0.4</v>
      </c>
      <c r="I106" s="5">
        <f>E74</f>
        <v>0.6</v>
      </c>
    </row>
    <row r="107" spans="1:9" ht="40.5">
      <c r="A107" s="1" t="s">
        <v>180</v>
      </c>
      <c r="B107" s="18">
        <f>53.55+55.23+10.42</f>
        <v>119.2</v>
      </c>
      <c r="C107" s="18"/>
      <c r="D107" s="18"/>
      <c r="E107" s="18"/>
      <c r="F107" s="18"/>
      <c r="G107" s="18" t="s">
        <v>223</v>
      </c>
      <c r="H107" s="1">
        <f>H105*H106*F65</f>
        <v>4796.16</v>
      </c>
      <c r="I107" s="1">
        <f>I105*I106*E65</f>
        <v>25441.38</v>
      </c>
    </row>
    <row r="108" spans="2:6" ht="28.5" customHeight="1">
      <c r="B108" s="18"/>
      <c r="C108" s="1" t="s">
        <v>189</v>
      </c>
      <c r="D108" s="18" t="s">
        <v>191</v>
      </c>
      <c r="E108" s="18" t="s">
        <v>194</v>
      </c>
      <c r="F108" s="1" t="s">
        <v>225</v>
      </c>
    </row>
    <row r="109" spans="1:6" ht="40.5">
      <c r="A109" s="1" t="s">
        <v>171</v>
      </c>
      <c r="C109" s="1">
        <v>160</v>
      </c>
      <c r="D109" s="1">
        <f>C109/3600</f>
        <v>0.044444444444444446</v>
      </c>
      <c r="E109" s="3">
        <f>J105*D109</f>
        <v>0.37600000000000006</v>
      </c>
      <c r="F109" s="1">
        <f>(H107-I107)*D109</f>
        <v>-917.5653333333335</v>
      </c>
    </row>
    <row r="110" spans="2:7" ht="27">
      <c r="B110" s="1" t="s">
        <v>188</v>
      </c>
      <c r="C110" s="1" t="s">
        <v>245</v>
      </c>
      <c r="D110" s="1" t="s">
        <v>183</v>
      </c>
      <c r="E110" s="1" t="s">
        <v>147</v>
      </c>
      <c r="F110" s="1" t="s">
        <v>182</v>
      </c>
      <c r="G110" s="1" t="s">
        <v>179</v>
      </c>
    </row>
    <row r="111" spans="1:7" ht="13.5">
      <c r="A111" s="1" t="s">
        <v>62</v>
      </c>
      <c r="B111" s="1">
        <f>E111/2</f>
        <v>166.7925</v>
      </c>
      <c r="C111" s="1">
        <f>4^2*3.14/2*6</f>
        <v>150.72</v>
      </c>
      <c r="D111" s="1">
        <f>F111*G111</f>
        <v>76.98115384615383</v>
      </c>
      <c r="E111" s="3">
        <f>B106+E106</f>
        <v>333.585</v>
      </c>
      <c r="F111" s="1">
        <f>E111/2.6</f>
        <v>128.30192307692306</v>
      </c>
      <c r="G111" s="1">
        <f>C52</f>
        <v>0.6</v>
      </c>
    </row>
    <row r="112" spans="1:7" ht="13.5">
      <c r="A112" s="1" t="s">
        <v>305</v>
      </c>
      <c r="B112" s="1">
        <f>E112/2</f>
        <v>155.76749999999998</v>
      </c>
      <c r="C112" s="1">
        <f>4^2*3.14/2*6</f>
        <v>150.72</v>
      </c>
      <c r="D112" s="1">
        <f>F112*G112</f>
        <v>35.94634615384615</v>
      </c>
      <c r="E112" s="3">
        <f>B106</f>
        <v>311.53499999999997</v>
      </c>
      <c r="F112" s="1">
        <f>E112/2.6</f>
        <v>119.82115384615383</v>
      </c>
      <c r="G112" s="1">
        <f>C53</f>
        <v>0.3</v>
      </c>
    </row>
    <row r="113" spans="1:7" ht="13.5">
      <c r="A113" s="1" t="s">
        <v>306</v>
      </c>
      <c r="B113" s="1">
        <f>E113/2</f>
        <v>166.7925</v>
      </c>
      <c r="C113" s="1">
        <f>4^2*3.14/2*6</f>
        <v>150.72</v>
      </c>
      <c r="D113" s="1">
        <f>F113*G113</f>
        <v>23.09434615384615</v>
      </c>
      <c r="E113" s="3">
        <f>B106+E106</f>
        <v>333.585</v>
      </c>
      <c r="F113" s="1">
        <f>E113/2.6</f>
        <v>128.30192307692306</v>
      </c>
      <c r="G113" s="1">
        <f>C54</f>
        <v>0.18</v>
      </c>
    </row>
    <row r="115" spans="1:10" ht="27">
      <c r="A115" s="1" t="s">
        <v>113</v>
      </c>
      <c r="D115" s="1" t="s">
        <v>235</v>
      </c>
      <c r="E115" s="1" t="s">
        <v>226</v>
      </c>
      <c r="F115" s="1" t="s">
        <v>227</v>
      </c>
      <c r="G115" s="1" t="s">
        <v>228</v>
      </c>
      <c r="H115" s="1" t="s">
        <v>229</v>
      </c>
      <c r="I115" s="1" t="s">
        <v>230</v>
      </c>
      <c r="J115" s="1" t="s">
        <v>325</v>
      </c>
    </row>
    <row r="116" spans="1:10" ht="27">
      <c r="A116" s="12"/>
      <c r="E116" s="1" t="s">
        <v>233</v>
      </c>
      <c r="F116" s="1">
        <v>510</v>
      </c>
      <c r="G116" s="1">
        <v>535</v>
      </c>
      <c r="H116" s="1">
        <v>705</v>
      </c>
      <c r="I116" s="1">
        <v>850</v>
      </c>
      <c r="J116" s="1">
        <v>1260</v>
      </c>
    </row>
    <row r="117" spans="1:10" ht="27">
      <c r="A117" s="12"/>
      <c r="E117" s="1" t="s">
        <v>231</v>
      </c>
      <c r="F117" s="1">
        <v>2800</v>
      </c>
      <c r="G117" s="1">
        <v>3000</v>
      </c>
      <c r="H117" s="1">
        <v>3600</v>
      </c>
      <c r="I117" s="1">
        <v>4500</v>
      </c>
      <c r="J117" s="1">
        <v>6000</v>
      </c>
    </row>
    <row r="118" spans="1:10" ht="27">
      <c r="A118" s="12"/>
      <c r="E118" s="1" t="s">
        <v>324</v>
      </c>
      <c r="F118" s="3">
        <f>F117/F116</f>
        <v>5.490196078431373</v>
      </c>
      <c r="G118" s="3">
        <f>G117/G116</f>
        <v>5.607476635514018</v>
      </c>
      <c r="H118" s="3">
        <f>H117/H116</f>
        <v>5.1063829787234045</v>
      </c>
      <c r="I118" s="3">
        <f>I117/I116</f>
        <v>5.294117647058823</v>
      </c>
      <c r="J118" s="3">
        <f>J117/J116</f>
        <v>4.761904761904762</v>
      </c>
    </row>
    <row r="119" spans="1:9" ht="27">
      <c r="A119" s="12"/>
      <c r="E119" s="1" t="s">
        <v>234</v>
      </c>
      <c r="F119" s="1">
        <v>435</v>
      </c>
      <c r="G119" s="1">
        <v>505</v>
      </c>
      <c r="H119" s="1">
        <v>595</v>
      </c>
      <c r="I119" s="1">
        <v>820</v>
      </c>
    </row>
    <row r="120" spans="1:9" ht="27">
      <c r="A120" s="12"/>
      <c r="E120" s="1" t="s">
        <v>232</v>
      </c>
      <c r="F120" s="1">
        <v>2200</v>
      </c>
      <c r="G120" s="1">
        <v>2500</v>
      </c>
      <c r="H120" s="1">
        <v>2800</v>
      </c>
      <c r="I120" s="1">
        <v>3600</v>
      </c>
    </row>
    <row r="121" spans="1:9" ht="27">
      <c r="A121" s="11"/>
      <c r="E121" s="1" t="s">
        <v>236</v>
      </c>
      <c r="F121" s="45">
        <f>F120/F119</f>
        <v>5.057471264367816</v>
      </c>
      <c r="G121" s="45">
        <f>G120/G119</f>
        <v>4.9504950495049505</v>
      </c>
      <c r="H121" s="45">
        <f>H120/H119</f>
        <v>4.705882352941177</v>
      </c>
      <c r="I121" s="45">
        <f>I120/I119</f>
        <v>4.390243902439025</v>
      </c>
    </row>
    <row r="122" ht="13.5">
      <c r="A122" s="12"/>
    </row>
    <row r="123" ht="13.5">
      <c r="A123" s="12"/>
    </row>
    <row r="124" ht="13.5">
      <c r="A124" s="12"/>
    </row>
    <row r="125" ht="13.5">
      <c r="A125" s="12"/>
    </row>
    <row r="126" ht="13.5">
      <c r="A126" s="11"/>
    </row>
    <row r="127" ht="13.5">
      <c r="A127" s="12"/>
    </row>
    <row r="128" ht="13.5">
      <c r="A128" s="12"/>
    </row>
    <row r="129" ht="13.5">
      <c r="A129" s="12"/>
    </row>
    <row r="130" ht="13.5">
      <c r="A130" s="12"/>
    </row>
    <row r="131" ht="13.5">
      <c r="A131" s="12"/>
    </row>
    <row r="132" ht="13.5">
      <c r="A132" s="13"/>
    </row>
  </sheetData>
  <printOptions/>
  <pageMargins left="0.75" right="0.75" top="1" bottom="1" header="0.512" footer="0.51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</cp:lastModifiedBy>
  <cp:lastPrinted>2004-10-30T04:50:51Z</cp:lastPrinted>
  <dcterms:created xsi:type="dcterms:W3CDTF">1997-01-08T22:48:59Z</dcterms:created>
  <dcterms:modified xsi:type="dcterms:W3CDTF">2011-01-09T12:42:14Z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